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Downloads\"/>
    </mc:Choice>
  </mc:AlternateContent>
  <xr:revisionPtr revIDLastSave="0" documentId="13_ncr:1_{E636AE5B-5373-4CB9-9555-6F0932C6722B}" xr6:coauthVersionLast="47" xr6:coauthVersionMax="47" xr10:uidLastSave="{00000000-0000-0000-0000-000000000000}"/>
  <bookViews>
    <workbookView xWindow="-108" yWindow="-108" windowWidth="23256" windowHeight="12456" firstSheet="8" activeTab="13" xr2:uid="{00000000-000D-0000-FFFF-FFFF00000000}"/>
  </bookViews>
  <sheets>
    <sheet name="2011年(212筆227冊)" sheetId="7" r:id="rId1"/>
    <sheet name="2012年(289筆318冊)" sheetId="3" r:id="rId2"/>
    <sheet name="2013年(276筆300冊)" sheetId="6" r:id="rId3"/>
    <sheet name="2014年(139筆139冊)" sheetId="5" r:id="rId4"/>
    <sheet name="2015年(193筆204冊)+2筆" sheetId="8" r:id="rId5"/>
    <sheet name="2016年(106筆108冊)+20筆20冊 " sheetId="9" r:id="rId6"/>
    <sheet name="2017年(196筆212冊)+15冊" sheetId="12" r:id="rId7"/>
    <sheet name="2018年(304筆332冊)+10冊" sheetId="13" r:id="rId8"/>
    <sheet name="2019年(238筆)" sheetId="15" r:id="rId9"/>
    <sheet name="2020年(228筆)" sheetId="16" r:id="rId10"/>
    <sheet name="2021年(253筆)" sheetId="18" r:id="rId11"/>
    <sheet name="2022年(164筆)" sheetId="19" r:id="rId12"/>
    <sheet name="2023年(192筆)" sheetId="20" r:id="rId13"/>
    <sheet name="2024年(164筆)" sheetId="21" r:id="rId14"/>
  </sheets>
  <definedNames>
    <definedName name="_xlnm._FilterDatabase" localSheetId="1" hidden="1">'2012年(289筆318冊)'!$A$1:$M$291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1" i="12" l="1"/>
  <c r="L210" i="12"/>
  <c r="L209" i="12"/>
  <c r="L208" i="12"/>
  <c r="L207" i="12"/>
  <c r="L202" i="12"/>
  <c r="L201" i="12"/>
  <c r="L200" i="12"/>
  <c r="L199" i="12"/>
  <c r="L198" i="12"/>
  <c r="L197" i="12"/>
  <c r="L196" i="12"/>
  <c r="L195" i="12"/>
  <c r="L194" i="12"/>
  <c r="L193" i="12"/>
  <c r="L192" i="12"/>
  <c r="L191" i="12"/>
  <c r="L190" i="12"/>
  <c r="L189" i="12"/>
  <c r="L188" i="12"/>
  <c r="L187" i="12"/>
  <c r="L186" i="12"/>
  <c r="L185" i="12"/>
  <c r="L184" i="12"/>
  <c r="L183" i="12"/>
  <c r="L182" i="12"/>
  <c r="L181" i="12"/>
  <c r="L180" i="12"/>
  <c r="L179" i="12"/>
  <c r="L178" i="12"/>
  <c r="L177" i="12"/>
  <c r="L176" i="12"/>
  <c r="L175" i="12"/>
  <c r="L174" i="12"/>
  <c r="L173" i="12"/>
  <c r="L172" i="12"/>
  <c r="L171" i="12"/>
  <c r="L170" i="12"/>
  <c r="L169" i="12"/>
  <c r="L168" i="12"/>
  <c r="L167" i="12"/>
  <c r="L166" i="12"/>
  <c r="L165" i="12"/>
  <c r="L164" i="12"/>
  <c r="L163" i="12"/>
  <c r="L162" i="12"/>
  <c r="L161" i="12"/>
  <c r="L160" i="12"/>
  <c r="L159" i="12"/>
  <c r="L158" i="12"/>
  <c r="L157" i="12"/>
  <c r="L156" i="12"/>
  <c r="L155" i="12"/>
  <c r="L154" i="12"/>
  <c r="L153" i="12"/>
  <c r="L152" i="12"/>
  <c r="L149" i="12"/>
  <c r="L148" i="12"/>
  <c r="L147" i="12"/>
  <c r="L146" i="12"/>
  <c r="L145" i="12"/>
  <c r="L144" i="12"/>
  <c r="L143" i="12"/>
  <c r="L142" i="12"/>
  <c r="L141" i="12"/>
  <c r="L140" i="12"/>
  <c r="L139" i="12"/>
  <c r="L138" i="12"/>
  <c r="L136" i="12"/>
  <c r="L135" i="12"/>
  <c r="L134" i="12"/>
  <c r="L132" i="12"/>
  <c r="L131" i="12"/>
  <c r="L130" i="12"/>
  <c r="L125" i="12"/>
  <c r="L124" i="12"/>
  <c r="L123" i="12"/>
  <c r="L122" i="12"/>
  <c r="L121" i="12"/>
  <c r="L120" i="12"/>
  <c r="L119" i="12"/>
  <c r="L118" i="12"/>
  <c r="L117" i="12"/>
  <c r="L116" i="12"/>
  <c r="L115" i="12"/>
  <c r="L114" i="12"/>
  <c r="L113" i="12"/>
  <c r="L112" i="12"/>
  <c r="L111" i="12"/>
  <c r="L110" i="12"/>
  <c r="L109" i="12"/>
  <c r="L108" i="12"/>
  <c r="L106" i="12"/>
  <c r="L105" i="12"/>
  <c r="L104" i="12"/>
  <c r="L103" i="12"/>
  <c r="L102" i="12"/>
  <c r="L101" i="12"/>
  <c r="L100" i="12"/>
  <c r="L99" i="12"/>
  <c r="L98" i="12"/>
  <c r="L97" i="12"/>
  <c r="L96" i="12"/>
  <c r="L95" i="12"/>
  <c r="L94" i="12"/>
  <c r="L93" i="12"/>
  <c r="L92" i="12"/>
  <c r="L91" i="12"/>
  <c r="L90" i="12"/>
  <c r="L89" i="12"/>
  <c r="L88" i="12"/>
  <c r="L87" i="12"/>
  <c r="L86" i="12"/>
  <c r="L85" i="12"/>
  <c r="L84" i="12"/>
  <c r="L83" i="12"/>
  <c r="L82" i="12"/>
  <c r="L81" i="12"/>
  <c r="L80" i="12"/>
  <c r="L79" i="12"/>
  <c r="L78" i="12"/>
  <c r="L77" i="12"/>
  <c r="L76" i="12"/>
  <c r="L75" i="12"/>
  <c r="L74" i="12"/>
  <c r="L73" i="12"/>
  <c r="L72" i="12"/>
  <c r="L71" i="12"/>
  <c r="L70" i="12"/>
  <c r="L69" i="12"/>
  <c r="L68" i="12"/>
  <c r="L67" i="12"/>
  <c r="L66" i="12"/>
  <c r="L65" i="12"/>
  <c r="L64" i="12"/>
  <c r="L63" i="12"/>
  <c r="L62" i="12"/>
  <c r="L61" i="12"/>
  <c r="L60" i="12"/>
  <c r="L59" i="12"/>
  <c r="L58" i="12"/>
  <c r="L57" i="12"/>
  <c r="L56" i="12"/>
  <c r="L55" i="12"/>
  <c r="L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L4" i="12"/>
  <c r="L3" i="12"/>
  <c r="L2" i="12"/>
  <c r="I197" i="8" l="1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N3" i="8"/>
  <c r="N2" i="8"/>
  <c r="N277" i="6"/>
  <c r="N276" i="6"/>
  <c r="N275" i="6"/>
  <c r="N274" i="6"/>
  <c r="N273" i="6"/>
  <c r="N272" i="6"/>
  <c r="N271" i="6"/>
  <c r="N270" i="6"/>
  <c r="N269" i="6"/>
  <c r="N268" i="6"/>
  <c r="N267" i="6"/>
  <c r="N266" i="6"/>
  <c r="N265" i="6"/>
  <c r="N264" i="6"/>
  <c r="N263" i="6"/>
  <c r="N262" i="6"/>
  <c r="N261" i="6"/>
  <c r="N260" i="6"/>
  <c r="N259" i="6"/>
  <c r="N258" i="6"/>
  <c r="N257" i="6"/>
  <c r="N256" i="6"/>
  <c r="N255" i="6"/>
  <c r="N254" i="6"/>
  <c r="N253" i="6"/>
  <c r="N252" i="6"/>
  <c r="N251" i="6"/>
  <c r="N250" i="6"/>
  <c r="N249" i="6"/>
  <c r="N248" i="6"/>
  <c r="N247" i="6"/>
  <c r="N246" i="6"/>
  <c r="N245" i="6"/>
  <c r="N244" i="6"/>
  <c r="N243" i="6"/>
  <c r="N242" i="6"/>
  <c r="N241" i="6"/>
  <c r="N240" i="6"/>
  <c r="N239" i="6"/>
  <c r="N238" i="6"/>
  <c r="N237" i="6"/>
  <c r="N236" i="6"/>
  <c r="N235" i="6"/>
  <c r="N234" i="6"/>
  <c r="N233" i="6"/>
  <c r="N232" i="6"/>
  <c r="N231" i="6"/>
  <c r="N230" i="6"/>
  <c r="N229" i="6"/>
  <c r="N228" i="6"/>
  <c r="N227" i="6"/>
  <c r="N226" i="6"/>
  <c r="N225" i="6"/>
  <c r="N224" i="6"/>
  <c r="N223" i="6"/>
  <c r="N222" i="6"/>
  <c r="N221" i="6"/>
  <c r="N220" i="6"/>
  <c r="N219" i="6"/>
  <c r="N218" i="6"/>
  <c r="N217" i="6"/>
  <c r="N216" i="6"/>
  <c r="N215" i="6"/>
  <c r="N214" i="6"/>
  <c r="N213" i="6"/>
  <c r="N212" i="6"/>
  <c r="N211" i="6"/>
  <c r="N210" i="6"/>
  <c r="N209" i="6"/>
  <c r="N208" i="6"/>
  <c r="N207" i="6"/>
  <c r="N206" i="6"/>
  <c r="N205" i="6"/>
  <c r="N204" i="6"/>
  <c r="N203" i="6"/>
  <c r="N202" i="6"/>
  <c r="N201" i="6"/>
  <c r="N200" i="6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1" i="6"/>
  <c r="N160" i="6"/>
  <c r="N159" i="6"/>
  <c r="N158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N2" i="6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6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N2" i="7"/>
</calcChain>
</file>

<file path=xl/sharedStrings.xml><?xml version="1.0" encoding="utf-8"?>
<sst xmlns="http://schemas.openxmlformats.org/spreadsheetml/2006/main" count="25626" uniqueCount="12090">
  <si>
    <t>G70.212.D64</t>
  </si>
  <si>
    <t>9781466609464</t>
  </si>
  <si>
    <t>9781466609457</t>
  </si>
  <si>
    <t>Discovery of Geospatial Resources: Methodologies, Technologies, and Emergent Applications</t>
  </si>
  <si>
    <t>Diaz, Laura</t>
  </si>
  <si>
    <t>HD30.2.K6368423</t>
  </si>
  <si>
    <t>9781466609495</t>
  </si>
  <si>
    <t>9781466609488</t>
  </si>
  <si>
    <t>Knowledge Management and Drivers of Innovation in Services Industries</t>
  </si>
  <si>
    <t>Pablos, Patricia Ordoñez de</t>
  </si>
  <si>
    <t>QA76.9.H85S654</t>
  </si>
  <si>
    <t>9781466609556</t>
  </si>
  <si>
    <t>9781466609549</t>
  </si>
  <si>
    <t>Speech, Image and Language Processing for Human Computer Interaction: Multi-Modal Advancements</t>
  </si>
  <si>
    <t>Tiwary, Uma Shanker</t>
  </si>
  <si>
    <t>QA76.9.C58.C585</t>
  </si>
  <si>
    <t>9781466609587</t>
  </si>
  <si>
    <t>9781466609570</t>
  </si>
  <si>
    <t>Cloud Computing for Teaching and Learning: Strategies for Design and Implementation</t>
  </si>
  <si>
    <t>621.382/1</t>
  </si>
  <si>
    <t>TK5105.66.U84</t>
  </si>
  <si>
    <t>9781466609617</t>
  </si>
  <si>
    <t>9781466609600</t>
  </si>
  <si>
    <t>Using Cross-Layer Techniques for Communication Systems</t>
  </si>
  <si>
    <t>Rashvand, Habib F.</t>
  </si>
  <si>
    <t>658.8/02</t>
  </si>
  <si>
    <t>HF5415.R257</t>
  </si>
  <si>
    <t>9781466609709</t>
  </si>
  <si>
    <t>9781466609693</t>
  </si>
  <si>
    <t>Systems Thinking and Process Dynamics for Marketing Systems: Technologies and Applications for Decision Management</t>
  </si>
  <si>
    <t>Rajagopal</t>
  </si>
  <si>
    <t>153.4/2</t>
  </si>
  <si>
    <t>BF442.R45</t>
  </si>
  <si>
    <t>9781466609730</t>
  </si>
  <si>
    <t>9781466609723</t>
  </si>
  <si>
    <t>Relational Thinking Styles and Natural Intelligence: Assessing Inference Patterns for Computational Modeling</t>
  </si>
  <si>
    <t>Chiasson, Phyllis</t>
  </si>
  <si>
    <t>HD30.2.T4953</t>
  </si>
  <si>
    <t>9781466609792</t>
  </si>
  <si>
    <t>9781466609785</t>
  </si>
  <si>
    <t>Threats, Countermeasures and Advances in Applied Information Security</t>
  </si>
  <si>
    <t>Gupta, Manish</t>
  </si>
  <si>
    <t>Z675.U5F77</t>
  </si>
  <si>
    <t>9781466602359</t>
  </si>
  <si>
    <t>9781466602342</t>
  </si>
  <si>
    <t>Remote Access Technologies for Library Collections: Tools for Library Users and Managers</t>
  </si>
  <si>
    <t>Fulkerson, Diane M.</t>
  </si>
  <si>
    <t>808.06/6</t>
  </si>
  <si>
    <t>T11.G683</t>
  </si>
  <si>
    <t>9781466602380</t>
  </si>
  <si>
    <t>9781466602373</t>
  </si>
  <si>
    <t>Technical Writing, Presentational Skills, and Online Communication: Professional Tools and Insights</t>
  </si>
  <si>
    <t>Greenlaw, Raymond</t>
  </si>
  <si>
    <t>620.0014</t>
  </si>
  <si>
    <t>TA158.5.N49</t>
  </si>
  <si>
    <t>9781466602441</t>
  </si>
  <si>
    <t>9781466602434</t>
  </si>
  <si>
    <t>New Media Communication Skills for Engineers and IT Professionals: Trans-National and Trans-Cultural Demands</t>
  </si>
  <si>
    <t>Patil, Arun</t>
  </si>
  <si>
    <t>HD38.5.C87</t>
  </si>
  <si>
    <t>9781466602472</t>
  </si>
  <si>
    <t>9781466602465</t>
  </si>
  <si>
    <t>Customer-Oriented Global Supply Chains: Concepts for Effective Management</t>
  </si>
  <si>
    <t>Eyob, Ephrem</t>
  </si>
  <si>
    <t>HD31.B8529</t>
  </si>
  <si>
    <t>9781466602502</t>
  </si>
  <si>
    <t>9781466602496</t>
  </si>
  <si>
    <t>Business Enterprise, Process, and Technology Management: Models and Applications</t>
  </si>
  <si>
    <t>Shankararaman, Venky</t>
  </si>
  <si>
    <t>370.1130285</t>
  </si>
  <si>
    <t>LC1048.C57V64</t>
  </si>
  <si>
    <t>9781466602533</t>
  </si>
  <si>
    <t>9781466602526</t>
  </si>
  <si>
    <t>Vocational Education Technologies and Advances in Adult Learning: New Concepts</t>
  </si>
  <si>
    <t>621.39/5</t>
  </si>
  <si>
    <t>QA76.9.A3T435</t>
  </si>
  <si>
    <t>9781466602564</t>
  </si>
  <si>
    <t>9781466602557</t>
  </si>
  <si>
    <t>Technological Innovations in Adaptive and Dependable Systems: Advancing Models and Concepts</t>
  </si>
  <si>
    <t>Florio, Vincenzo De</t>
  </si>
  <si>
    <t>G70.212.G4784</t>
  </si>
  <si>
    <t>9781466602595</t>
  </si>
  <si>
    <t>9781466602588</t>
  </si>
  <si>
    <t>Geospatial Technologies and Advancing Geographic Decision Making: Issues and Trends</t>
  </si>
  <si>
    <t>Albert, Donald Patrick</t>
  </si>
  <si>
    <t>Q342.S54</t>
  </si>
  <si>
    <t>9781466602625</t>
  </si>
  <si>
    <t>9781466602618</t>
  </si>
  <si>
    <t>Software and Intelligent Sciences: New Transdisciplinary Findings</t>
  </si>
  <si>
    <t>Q342.B74</t>
  </si>
  <si>
    <t>9781466602656</t>
  </si>
  <si>
    <t>9781466602649</t>
  </si>
  <si>
    <t>Breakthroughs in Software Science and Computational Intelligence</t>
  </si>
  <si>
    <t>658.701</t>
  </si>
  <si>
    <t>HD38.5.I53</t>
  </si>
  <si>
    <t>9781466602687</t>
  </si>
  <si>
    <t>9781466602670</t>
  </si>
  <si>
    <t>Innovations in Logistics and Supply Chain Management Technologies for Dynamic Economies</t>
  </si>
  <si>
    <t>Luo, ZongWei</t>
  </si>
  <si>
    <t>T57.84.M58</t>
  </si>
  <si>
    <t>9781466602717</t>
  </si>
  <si>
    <t>9781466602700</t>
  </si>
  <si>
    <t>Modeling, Analysis, and Applications in Metaheuristic Computing: Advancements and Trends</t>
  </si>
  <si>
    <t>Yin, Peng-Yeng</t>
  </si>
  <si>
    <t>658.4/038095</t>
  </si>
  <si>
    <t>HD30.2.A347</t>
  </si>
  <si>
    <t>9781466602779</t>
  </si>
  <si>
    <t>9781466602762</t>
  </si>
  <si>
    <t>Advancing Technologies for Asian Business and Economics: Information Management Developments</t>
  </si>
  <si>
    <t>Ura, Dasho Karma</t>
  </si>
  <si>
    <t>HD38.7.O74</t>
  </si>
  <si>
    <t>9781466602809</t>
  </si>
  <si>
    <t>9781466602793</t>
  </si>
  <si>
    <t>Organizational Applications of Business Intelligence Management: Emerging Trends</t>
  </si>
  <si>
    <t>Herschel, Richard</t>
  </si>
  <si>
    <t>005.4/37</t>
  </si>
  <si>
    <t>T385.I4743</t>
  </si>
  <si>
    <t>9781466602861</t>
  </si>
  <si>
    <t>9781466602854</t>
  </si>
  <si>
    <t>Innovative Design and Creation of Visual Interfaces: Advancements and Trends</t>
  </si>
  <si>
    <t>Falchuk, Ben</t>
  </si>
  <si>
    <t>658.8/120285</t>
  </si>
  <si>
    <t>HF5415.5.S83</t>
  </si>
  <si>
    <t>9781466602892</t>
  </si>
  <si>
    <t>9781466602885</t>
  </si>
  <si>
    <t>Successful Customer Relationship Management Programs and Technologies: Issues and Trends</t>
  </si>
  <si>
    <t>Eid, Riyad</t>
  </si>
  <si>
    <t>629.8/92</t>
  </si>
  <si>
    <t>TJ211.S438</t>
  </si>
  <si>
    <t>9781466602922</t>
  </si>
  <si>
    <t>9781466602915</t>
  </si>
  <si>
    <t>Service Robots and Robotics: Design and Application</t>
  </si>
  <si>
    <t>Ceccarelli, Marco</t>
  </si>
  <si>
    <t>TK7881.H36</t>
  </si>
  <si>
    <t>9781466602953</t>
  </si>
  <si>
    <t>9781466602946</t>
  </si>
  <si>
    <t>Handbook of Research on Industrial Informatics and Manufacturing Intelligence: Innovations and Solutions</t>
  </si>
  <si>
    <t>Khan, Mohammad Ayoub</t>
  </si>
  <si>
    <t>658.4/034</t>
  </si>
  <si>
    <t>TS155.6.L64</t>
  </si>
  <si>
    <t>9781466602984</t>
  </si>
  <si>
    <t>9781466602977</t>
  </si>
  <si>
    <t>Logistics Management and Optimization through Hybrid Artificial Intelligence Systems</t>
  </si>
  <si>
    <t>Zezzatti, Carlos Alberto Ochoa</t>
  </si>
  <si>
    <t>371.39/5</t>
  </si>
  <si>
    <t>LB1032.C563</t>
  </si>
  <si>
    <t>9781466603011</t>
  </si>
  <si>
    <t>9781466603004</t>
  </si>
  <si>
    <t>Collaborative Learning 2.0: Open Educational Resources</t>
  </si>
  <si>
    <t>Okada, Alexandra Lilavati Pere</t>
  </si>
  <si>
    <t>302.23/1</t>
  </si>
  <si>
    <t>QA76.9.S88P49</t>
  </si>
  <si>
    <t>9781466603042</t>
  </si>
  <si>
    <t>9781466603035</t>
  </si>
  <si>
    <t>Phenomenology, Organizational Politics, and IT Design: The Social Study of Information Systems</t>
  </si>
  <si>
    <t>Viscusi, Gianluigi</t>
  </si>
  <si>
    <t>658/.049</t>
  </si>
  <si>
    <t>HD62.4.C853</t>
  </si>
  <si>
    <t>9781466603073</t>
  </si>
  <si>
    <t>9781466603066</t>
  </si>
  <si>
    <t>Cultural Variations and Business Performance: Contemporary Globalism</t>
  </si>
  <si>
    <t>Christiansen, Bryan</t>
  </si>
  <si>
    <t>362.17/82</t>
  </si>
  <si>
    <t>RS122.2.P44</t>
  </si>
  <si>
    <t>9781466603103</t>
  </si>
  <si>
    <t>9781466603097</t>
  </si>
  <si>
    <t>Pharmacoinformatics and Drug Discovery Technologies: Theories and Applications</t>
  </si>
  <si>
    <t>Gasmelseid, Tagelsir Mohamed</t>
  </si>
  <si>
    <t>BF637.C45.E53</t>
  </si>
  <si>
    <t>9781466603165</t>
  </si>
  <si>
    <t>9781466603158</t>
  </si>
  <si>
    <t>Encyclopedia of Cyber Behavior</t>
  </si>
  <si>
    <t>Yan, Zheng</t>
  </si>
  <si>
    <t>TK5105.77.T43</t>
  </si>
  <si>
    <t>9781466603226</t>
  </si>
  <si>
    <t>9781466603219</t>
  </si>
  <si>
    <t>Technological Advancements and Applications in Mobile Ad-Hoc Networks: Research Trends</t>
  </si>
  <si>
    <t>Lakhtaria, Kamaljit I.</t>
  </si>
  <si>
    <t>910.01</t>
  </si>
  <si>
    <t>G70.212.U57</t>
  </si>
  <si>
    <t>9781466603288</t>
  </si>
  <si>
    <t>9781466603271</t>
  </si>
  <si>
    <t>Universal Ontology of Geographic Space: Semantic Enrichment for Spatial Data</t>
  </si>
  <si>
    <t>Podobnikar, Tomaž</t>
  </si>
  <si>
    <t>025.042/52</t>
  </si>
  <si>
    <t>ZA3075.N495</t>
  </si>
  <si>
    <t>9781466603318</t>
  </si>
  <si>
    <t>9781466603301</t>
  </si>
  <si>
    <t>Next Generation Search Engines: Advanced Models for Information Retrieval</t>
  </si>
  <si>
    <t>Jouis, Christophe</t>
  </si>
  <si>
    <t>025.042/2</t>
  </si>
  <si>
    <t>HD30.37.E54</t>
  </si>
  <si>
    <t>9781466603370</t>
  </si>
  <si>
    <t>9781466603363</t>
  </si>
  <si>
    <t>Enhancing Enterprise and Service-Oriented Architectures with Advanced Web Portal Technologies</t>
  </si>
  <si>
    <t>Adamson, Greg</t>
  </si>
  <si>
    <t>516/.1</t>
  </si>
  <si>
    <t>QA521.A155</t>
  </si>
  <si>
    <t>9781466601147</t>
  </si>
  <si>
    <t>9781466601130</t>
  </si>
  <si>
    <t>3-D Surface Geometry and Reconstruction: Developing Concepts and Applications</t>
  </si>
  <si>
    <t>Pati, Umesh Chandra</t>
  </si>
  <si>
    <t>323/.04202854678</t>
  </si>
  <si>
    <t>JF1525.A8A34</t>
  </si>
  <si>
    <t>9781466601178</t>
  </si>
  <si>
    <t>9781466601161</t>
  </si>
  <si>
    <t>Active Citizen Participation in E-Government: A Global Perspective</t>
  </si>
  <si>
    <t>Manoharan, Aroon</t>
  </si>
  <si>
    <t>QA76.59.A38</t>
  </si>
  <si>
    <t>9781466601208</t>
  </si>
  <si>
    <t>9781466601192</t>
  </si>
  <si>
    <t>Advancing the Next-Generation of Mobile Computing: Emerging Technologies</t>
  </si>
  <si>
    <t>610.28076</t>
  </si>
  <si>
    <t>R856.3.B56</t>
  </si>
  <si>
    <t>9781466601239</t>
  </si>
  <si>
    <t>9781466601222</t>
  </si>
  <si>
    <t>Handbook of Research on Biomedical Engineering Education and Advanced Bioengineering Learning: Interdisciplinary Cases</t>
  </si>
  <si>
    <t>Abu-Faraj, Ziad O.</t>
  </si>
  <si>
    <t>TS183.C6488</t>
  </si>
  <si>
    <t>9781466601291</t>
  </si>
  <si>
    <t>9781466601284</t>
  </si>
  <si>
    <t>Computational Methods for Optimizing Manufacturing Technology: Models and Techniques</t>
  </si>
  <si>
    <t>Davim, J. Paulo</t>
  </si>
  <si>
    <t>T58.6.V33</t>
  </si>
  <si>
    <t>9781466601321</t>
  </si>
  <si>
    <t>9781466601314</t>
  </si>
  <si>
    <t>Design-Type Research in Information Systems: Findings and Practices</t>
  </si>
  <si>
    <t>Vahidov, Rustam</t>
  </si>
  <si>
    <t>371.39</t>
  </si>
  <si>
    <t>LB1029.P67E22</t>
  </si>
  <si>
    <t>9781466601444</t>
  </si>
  <si>
    <t>9781466601437</t>
  </si>
  <si>
    <t>E-Portfolios and Global Diffusion: Solutions for Collaborative Education</t>
  </si>
  <si>
    <t>Cambridge, Darren</t>
  </si>
  <si>
    <t>HF5548.32.H357</t>
  </si>
  <si>
    <t>9781466601475</t>
  </si>
  <si>
    <t>9781466601468</t>
  </si>
  <si>
    <t>Handbook of Research on E-Business Standards and Protocols: Documents, Data, and Advanced Web Technologies</t>
  </si>
  <si>
    <t>QA76.76.C672H3518</t>
  </si>
  <si>
    <t>9781466601505</t>
  </si>
  <si>
    <t>9781466601499</t>
  </si>
  <si>
    <t>Handbook of Research on Serious Games as Educational, Business and Research Tools</t>
  </si>
  <si>
    <t>302.2/4</t>
  </si>
  <si>
    <t>BF637.C45H86</t>
  </si>
  <si>
    <t>9781466601536</t>
  </si>
  <si>
    <t>9781466601529</t>
  </si>
  <si>
    <t>Human-Information Interaction and Technical Communication: Concepts and Frameworks</t>
  </si>
  <si>
    <t>Albers, Michael J.</t>
  </si>
  <si>
    <t>QA76.758.I54</t>
  </si>
  <si>
    <t>9781466601567</t>
  </si>
  <si>
    <t>9781466601550</t>
  </si>
  <si>
    <t>Information Systems Reengineering for Modern Business Systems: ERP, Supply Chain and E-Commerce Management Solutions</t>
  </si>
  <si>
    <t>Valverde, Raul</t>
  </si>
  <si>
    <t>T58.5.I5648</t>
  </si>
  <si>
    <t>9781466601598</t>
  </si>
  <si>
    <t>9781466601581</t>
  </si>
  <si>
    <t>Insights into Advancements in Intelligent Information Technologies: Discoveries</t>
  </si>
  <si>
    <t>QA76.9.D5I647</t>
  </si>
  <si>
    <t>9781466601628</t>
  </si>
  <si>
    <t>9781466601611</t>
  </si>
  <si>
    <t>Internet and Distributed Computing Advancements: Theoretical Frameworks and Practical Applications</t>
  </si>
  <si>
    <t>Abawajy, Jemal H.</t>
  </si>
  <si>
    <t>HD30.213.K68</t>
  </si>
  <si>
    <t>9781466601659</t>
  </si>
  <si>
    <t>9781466601642</t>
  </si>
  <si>
    <t>Management Information Systems for Enterprise Applications: Business Issues, Research and Solutions</t>
  </si>
  <si>
    <t>Koumpis, Adamantios</t>
  </si>
  <si>
    <t>363.34/8</t>
  </si>
  <si>
    <t>HV551.2.M36</t>
  </si>
  <si>
    <t>9781466601680</t>
  </si>
  <si>
    <t>9781466601673</t>
  </si>
  <si>
    <t>Managing Crises and Disasters with Emerging Technologies: Advancements</t>
  </si>
  <si>
    <t>HD30.2.M426</t>
  </si>
  <si>
    <t>9781466601710</t>
  </si>
  <si>
    <t>9781466601703</t>
  </si>
  <si>
    <t>Measuring Organizational Information Systems Success: New Technologies and Practices</t>
  </si>
  <si>
    <t>Belkhamza, Zakariya</t>
  </si>
  <si>
    <t>333.79</t>
  </si>
  <si>
    <t>TK3001.E46</t>
  </si>
  <si>
    <t>9781466601741</t>
  </si>
  <si>
    <t>9781466601734</t>
  </si>
  <si>
    <t>Power System Planning Technologies and Applications: Concepts, Solutions and Management</t>
  </si>
  <si>
    <t>Elkarmi, Fawwaz</t>
  </si>
  <si>
    <t>TJ211.P77</t>
  </si>
  <si>
    <t>9781466601772</t>
  </si>
  <si>
    <t>9781466601765</t>
  </si>
  <si>
    <t>Prototyping of Robotic Systems: Applications of Design and Implementation</t>
  </si>
  <si>
    <t>Sobh, Tarek</t>
  </si>
  <si>
    <t>QA76.758.R467</t>
  </si>
  <si>
    <t>9781466601802</t>
  </si>
  <si>
    <t>9781466601796</t>
  </si>
  <si>
    <t>Research Methodologies, Innovations and Philosophies in Software Systems Engineering and Information Systems</t>
  </si>
  <si>
    <t>Mora, Manuel</t>
  </si>
  <si>
    <t>372.35/8044</t>
  </si>
  <si>
    <t>TJ211.26.R64</t>
  </si>
  <si>
    <t>9781466601833</t>
  </si>
  <si>
    <t>9781466601826</t>
  </si>
  <si>
    <t>Robots in K-12 Education: A New Technology for Learning</t>
  </si>
  <si>
    <t>Barker, Bradley S.</t>
  </si>
  <si>
    <t>TK5105.88815.S4237</t>
  </si>
  <si>
    <t>9781466601864</t>
  </si>
  <si>
    <t>9781466601857</t>
  </si>
  <si>
    <t>Semantic-Enabled Advancements on the Web: Applications Across Industries</t>
  </si>
  <si>
    <t>Sheth, Amit P.</t>
  </si>
  <si>
    <t>006.3/3</t>
  </si>
  <si>
    <t>TK5105.88815.S468</t>
  </si>
  <si>
    <t>9781466601895</t>
  </si>
  <si>
    <t>9781466601888</t>
  </si>
  <si>
    <t>Semi-Automatic Ontology Development: Processes and Resources</t>
  </si>
  <si>
    <t>Pazienza, Maria Teresa</t>
  </si>
  <si>
    <t>004.6/5011</t>
  </si>
  <si>
    <t>TK5105.7.S563</t>
  </si>
  <si>
    <t>9781466601925</t>
  </si>
  <si>
    <t>9781466601918</t>
  </si>
  <si>
    <t>Simulation in Computer Network Design and Modeling: Use and Analysis</t>
  </si>
  <si>
    <t>Al-Bahadili, Hussein</t>
  </si>
  <si>
    <t>QA76.59.S63</t>
  </si>
  <si>
    <t>9781466601956</t>
  </si>
  <si>
    <t>9781466601949</t>
  </si>
  <si>
    <t>Social and Organizational Impacts of Emerging Mobile Devices: Evaluating Use</t>
  </si>
  <si>
    <t>Lumsden, Joanna</t>
  </si>
  <si>
    <t>TK5105.59.S766</t>
  </si>
  <si>
    <t>9781466601987</t>
  </si>
  <si>
    <t>9781466601970</t>
  </si>
  <si>
    <t>Strategic and Practical Approaches for Information Security Governance: Technologies and Applied Solutions</t>
  </si>
  <si>
    <t>TK5105.875.I57T454</t>
  </si>
  <si>
    <t>9781466602045</t>
  </si>
  <si>
    <t>9781466602038</t>
  </si>
  <si>
    <t>Technologies and Protocols for the Future of Internet Design: Reinventing the Web</t>
  </si>
  <si>
    <t>Vidyarthi, Deo Prakash</t>
  </si>
  <si>
    <t>388.3/124</t>
  </si>
  <si>
    <t>TL272.58.W57</t>
  </si>
  <si>
    <t>9781466602106</t>
  </si>
  <si>
    <t>9781466602090</t>
  </si>
  <si>
    <t>Wireless Technologies in Vehicular Ad Hoc Networks: Present and Future Challenges</t>
  </si>
  <si>
    <t>616.89/1402854678</t>
  </si>
  <si>
    <t>BF636.6.O55</t>
  </si>
  <si>
    <t>9781613502051</t>
  </si>
  <si>
    <t>9781613502044</t>
  </si>
  <si>
    <t>Online Guidance and Counseling: Toward Effectively Applying Technology</t>
  </si>
  <si>
    <t>Popoola, B.I.</t>
  </si>
  <si>
    <t>QA76.76.E95D378</t>
  </si>
  <si>
    <t>9781615209729</t>
  </si>
  <si>
    <t>9781615209712</t>
  </si>
  <si>
    <t>Data Intensive Distributed Computing: Challenges and Solutions for Large-scale Information Management</t>
  </si>
  <si>
    <t>Kosar, Tevfik</t>
  </si>
  <si>
    <t>384.5</t>
  </si>
  <si>
    <t>TK5103.2.W573513</t>
  </si>
  <si>
    <t>9781466600188</t>
  </si>
  <si>
    <t>9781466600171</t>
  </si>
  <si>
    <t>Wireless Multi-Access Environments and Quality of Service Provisioning: Solutions and Application</t>
  </si>
  <si>
    <t>Muntean, Gabriel-Miro</t>
  </si>
  <si>
    <t>TK5105.888.M577</t>
  </si>
  <si>
    <t>9781466600249</t>
  </si>
  <si>
    <t>9781466600232</t>
  </si>
  <si>
    <t>Models for Capitalizing on Web Engineering Advancements: Trends and Discoveries</t>
  </si>
  <si>
    <t>QA76.9.A25O685</t>
  </si>
  <si>
    <t>9781466600270</t>
  </si>
  <si>
    <t>9781466600263</t>
  </si>
  <si>
    <t>Optimizing Information Security and Advancing Privacy Assurance: New Technologies</t>
  </si>
  <si>
    <t>LB1023.8.E99625</t>
  </si>
  <si>
    <t>9781466600331</t>
  </si>
  <si>
    <t>9781466600324</t>
  </si>
  <si>
    <t>Evaluating the Impact of Technology on Learning, Teaching, and Designing Curriculum: Emerging Trends</t>
  </si>
  <si>
    <t>Ng, Eugenia M.W.</t>
  </si>
  <si>
    <t>HD30.2.C653</t>
  </si>
  <si>
    <t>9781466600362</t>
  </si>
  <si>
    <t>9781466600355</t>
  </si>
  <si>
    <t>Conceptual Models and Outcomes of Advancing Knowledge Management: New Technologies</t>
  </si>
  <si>
    <t>QA76.9.A48I56</t>
  </si>
  <si>
    <t>9781466600393</t>
  </si>
  <si>
    <t>9781466600386</t>
  </si>
  <si>
    <t>Innovative Applications of Ambient Intelligence: Advances in Smart Systems</t>
  </si>
  <si>
    <t>Curran, Kevin</t>
  </si>
  <si>
    <t>HD9980.5.A384</t>
  </si>
  <si>
    <t>9781466600454</t>
  </si>
  <si>
    <t>9781466600447</t>
  </si>
  <si>
    <t>Advancing the Service Sector with Evolving Technologies: Techniques and Principles</t>
  </si>
  <si>
    <t>307.1/412</t>
  </si>
  <si>
    <t>HN49.C6I26</t>
  </si>
  <si>
    <t>9781466600485</t>
  </si>
  <si>
    <t>9781466600478</t>
  </si>
  <si>
    <t>ICTs for Advancing Rural Communities and Human Development: Addressing the Digital Divide</t>
  </si>
  <si>
    <t>Chhabra, Susheel</t>
  </si>
  <si>
    <t>TK5105.8865.R47</t>
  </si>
  <si>
    <t>9781466600515</t>
  </si>
  <si>
    <t>9781466600508</t>
  </si>
  <si>
    <t>Research, Practice, and Educational Advancements in Telecommunications and Networking</t>
  </si>
  <si>
    <t>Bartolacci, Michael R.</t>
  </si>
  <si>
    <t>LB1028.5.R3945</t>
  </si>
  <si>
    <t>9781466600553</t>
  </si>
  <si>
    <t>9781466600539</t>
  </si>
  <si>
    <t>Refining Current Practices in Mobile and Blended Learning: New Applications</t>
  </si>
  <si>
    <t>QA76.9.C58.E976</t>
  </si>
  <si>
    <t>9781466600577</t>
  </si>
  <si>
    <t>9781466600560</t>
  </si>
  <si>
    <t>Evolving Developments in Grid and Cloud Computing: Advancing Research</t>
  </si>
  <si>
    <t>616.07/54</t>
  </si>
  <si>
    <t>RC78.7.D53M33</t>
  </si>
  <si>
    <t>9781466600607</t>
  </si>
  <si>
    <t>9781466600591</t>
  </si>
  <si>
    <t>Machine Learning in Computer-Aided Diagnosis: Medical Imaging Intelligence and Analysis</t>
  </si>
  <si>
    <t>Suzuki, Kenji</t>
  </si>
  <si>
    <t>371.2</t>
  </si>
  <si>
    <t>LB2806.17.T43</t>
  </si>
  <si>
    <t>9781466600638</t>
  </si>
  <si>
    <t>9781466600621</t>
  </si>
  <si>
    <t>Technology and Its Impact on Educational Leadership: Innovation and Change</t>
  </si>
  <si>
    <t>Wang, Chunxue V.</t>
  </si>
  <si>
    <t>HD38.5.C277</t>
  </si>
  <si>
    <t>9781466600669</t>
  </si>
  <si>
    <t>9781466600652</t>
  </si>
  <si>
    <t>Cases on Supply Chain and Distribution Management: Issues and Principles</t>
  </si>
  <si>
    <t>Garg, Miti</t>
  </si>
  <si>
    <t>352.3/802854678</t>
  </si>
  <si>
    <t>JF1525.A8P835</t>
  </si>
  <si>
    <t>9781466600720</t>
  </si>
  <si>
    <t>9781466600713</t>
  </si>
  <si>
    <t>Public Service, Governance and Web 2.0 Technologies: Future Trends in Social Media</t>
  </si>
  <si>
    <t>Downey, Ed</t>
  </si>
  <si>
    <t>307.1/2160285</t>
  </si>
  <si>
    <t>HT165.5.O55</t>
  </si>
  <si>
    <t>9781466600751</t>
  </si>
  <si>
    <t>9781466600744</t>
  </si>
  <si>
    <t>Online Research Methods in Urban and Planning Studies: Design and Outcomes</t>
  </si>
  <si>
    <t>Silva, Carlos Nunes</t>
  </si>
  <si>
    <t>HD9980.5.S42533</t>
  </si>
  <si>
    <t>9781466600782</t>
  </si>
  <si>
    <t>9781466600775</t>
  </si>
  <si>
    <t>Service Science Research, Strategy and Innovation: Dynamic Knowledge Management Methods</t>
  </si>
  <si>
    <t>Delener, N.</t>
  </si>
  <si>
    <t>QA76.59.M6475</t>
  </si>
  <si>
    <t>9781466600812</t>
  </si>
  <si>
    <t>9781466600805</t>
  </si>
  <si>
    <t>Mobile Computing Techniques in Emerging Markets: Systems, Applications and Services</t>
  </si>
  <si>
    <t>621.384/12</t>
  </si>
  <si>
    <t>TK7874.78.W57</t>
  </si>
  <si>
    <t>9781466600843</t>
  </si>
  <si>
    <t>9781466600836</t>
  </si>
  <si>
    <t>Wireless Radio-Frequency Standards and System Design: Advanced Techniques</t>
  </si>
  <si>
    <t>Cornetta, Gianluca</t>
  </si>
  <si>
    <t>005.3028/7</t>
  </si>
  <si>
    <t>QA76.76.T48A38</t>
  </si>
  <si>
    <t>9781466600904</t>
  </si>
  <si>
    <t>9781466600898</t>
  </si>
  <si>
    <t>Advanced Automated Software Testing: Frameworks for Refined Practice</t>
  </si>
  <si>
    <t>Alsmadi, Izzat</t>
  </si>
  <si>
    <t>TK5103.2.F46</t>
  </si>
  <si>
    <t>9781466600935</t>
  </si>
  <si>
    <t>9781466600928</t>
  </si>
  <si>
    <t>Femtocell Communications and Technologies: Business Opportunities and Deployment Challenges</t>
  </si>
  <si>
    <t>Saeed, Rashid A.</t>
  </si>
  <si>
    <t>658.8/12</t>
  </si>
  <si>
    <t>HF5415.5.F89</t>
  </si>
  <si>
    <t>9781466600966</t>
  </si>
  <si>
    <t>9781466600959</t>
  </si>
  <si>
    <t>Fuzzy Methods for Customer Relationship Management and Marketing: Applications and Classifications</t>
  </si>
  <si>
    <t>Meier, Andreas</t>
  </si>
  <si>
    <t>QA76.585.O64</t>
  </si>
  <si>
    <t>9781466600997</t>
  </si>
  <si>
    <t>9781466600980</t>
  </si>
  <si>
    <t>Open Source Cloud Computing Systems: Practices and Paradigms</t>
  </si>
  <si>
    <t>Vaquero, Luis M.</t>
  </si>
  <si>
    <t>TK7872.D48W577</t>
  </si>
  <si>
    <t>9781466601024</t>
  </si>
  <si>
    <t>9781466601017</t>
  </si>
  <si>
    <t>Wireless Sensor Networks and Energy Efficiency: Protocols, Routing and Management</t>
  </si>
  <si>
    <t>Zaman, Noor</t>
  </si>
  <si>
    <t>TK5105.59S566</t>
  </si>
  <si>
    <t>9781466601055</t>
  </si>
  <si>
    <t>9781466601048</t>
  </si>
  <si>
    <t>Situational Awareness in Computer Network Defense: Principles, Methods and Applications</t>
  </si>
  <si>
    <t>Onwubiko, Cyril</t>
  </si>
  <si>
    <t>620/.00420285</t>
  </si>
  <si>
    <t>TA345.C63155</t>
  </si>
  <si>
    <t>9781613501818</t>
  </si>
  <si>
    <t>9781613501801</t>
  </si>
  <si>
    <t>Computational Design Methods and Technologies: Applications in CAD, CAM and CAE Education</t>
  </si>
  <si>
    <t>Gu, Ning</t>
  </si>
  <si>
    <t>021.2</t>
  </si>
  <si>
    <t>Z716.4.P37</t>
  </si>
  <si>
    <t>9781613503881</t>
  </si>
  <si>
    <t>9781613503874</t>
  </si>
  <si>
    <t>Partnerships and Collaborations in Public Library Communities: Resources and Solutions</t>
  </si>
  <si>
    <t>Ellis, Karen</t>
  </si>
  <si>
    <t>TK5103.59.R46</t>
  </si>
  <si>
    <t>9781613504277</t>
  </si>
  <si>
    <t>9781613504260</t>
  </si>
  <si>
    <t>Lazakidou, Athina</t>
  </si>
  <si>
    <t>658.8/72</t>
  </si>
  <si>
    <t>005.1</t>
  </si>
  <si>
    <t>658.4/038011</t>
  </si>
  <si>
    <t>658.7</t>
  </si>
  <si>
    <t>004.6/54</t>
  </si>
  <si>
    <t>005.74</t>
  </si>
  <si>
    <t>418.0078/5</t>
  </si>
  <si>
    <t>371.33</t>
  </si>
  <si>
    <t>378.1/7344678</t>
  </si>
  <si>
    <t>371.35/8</t>
  </si>
  <si>
    <t>371.33/44678</t>
  </si>
  <si>
    <t>006.3</t>
  </si>
  <si>
    <t>006.3/2</t>
  </si>
  <si>
    <t>658.4/72</t>
  </si>
  <si>
    <t>658.4/038</t>
  </si>
  <si>
    <t>610.285</t>
  </si>
  <si>
    <t>794.8/1536</t>
  </si>
  <si>
    <t>006.8</t>
  </si>
  <si>
    <t>004</t>
  </si>
  <si>
    <t>303.48/33</t>
  </si>
  <si>
    <t>303.48/33091724</t>
  </si>
  <si>
    <t>303.48/34</t>
  </si>
  <si>
    <t>658.4/78</t>
  </si>
  <si>
    <t>910.285</t>
  </si>
  <si>
    <t>005.8</t>
  </si>
  <si>
    <t>004.068/4</t>
  </si>
  <si>
    <t>658.5</t>
  </si>
  <si>
    <t>006.3/12</t>
  </si>
  <si>
    <t>371.33/4</t>
  </si>
  <si>
    <t>371.3</t>
  </si>
  <si>
    <t>371.33/7</t>
  </si>
  <si>
    <t>307.1/216</t>
  </si>
  <si>
    <t>004.01/9</t>
  </si>
  <si>
    <t>153</t>
  </si>
  <si>
    <t>570.285</t>
  </si>
  <si>
    <t>658.3/124</t>
  </si>
  <si>
    <t>004.6/5</t>
  </si>
  <si>
    <t>659.14/4</t>
  </si>
  <si>
    <t>621.382/7</t>
  </si>
  <si>
    <t>621.384</t>
  </si>
  <si>
    <t>004.6</t>
  </si>
  <si>
    <t>004.67/8</t>
  </si>
  <si>
    <t>794.8</t>
  </si>
  <si>
    <t>681/.2</t>
  </si>
  <si>
    <t>006.6</t>
  </si>
  <si>
    <t>連結</t>
    <phoneticPr fontId="3" type="noConversion"/>
  </si>
  <si>
    <t>Udoh, Emmanuel</t>
  </si>
  <si>
    <t>Santos, Raul Aquino</t>
  </si>
  <si>
    <t>Khalil, Ismail</t>
  </si>
  <si>
    <t>次主題</t>
    <phoneticPr fontId="3" type="noConversion"/>
  </si>
  <si>
    <t>電子書13碼ISBN</t>
    <phoneticPr fontId="3" type="noConversion"/>
  </si>
  <si>
    <t>版次</t>
    <phoneticPr fontId="3" type="noConversion"/>
  </si>
  <si>
    <t>出版者</t>
    <phoneticPr fontId="3" type="noConversion"/>
  </si>
  <si>
    <t>序號</t>
    <phoneticPr fontId="3" type="noConversion"/>
  </si>
  <si>
    <t>出版年</t>
    <phoneticPr fontId="3" type="noConversion"/>
  </si>
  <si>
    <t>紙本ISBN</t>
  </si>
  <si>
    <t>冊數</t>
  </si>
  <si>
    <t>Luo, Zongwei</t>
  </si>
  <si>
    <t>Wang, John</t>
  </si>
  <si>
    <t>Ciaramitaro, Barbara</t>
  </si>
  <si>
    <t>Database Technologies</t>
  </si>
  <si>
    <t>Yan, Li</t>
  </si>
  <si>
    <t>Taniar, David</t>
  </si>
  <si>
    <t>Kumar, A.V. Senthil</t>
  </si>
  <si>
    <t>Siau, Keng</t>
  </si>
  <si>
    <t>Educational Technologies</t>
  </si>
  <si>
    <t>Wang, Victor C.X.</t>
  </si>
  <si>
    <t>Luppicini, Rocci</t>
  </si>
  <si>
    <t>Parsons, David</t>
  </si>
  <si>
    <t>Yang, Harrison Hao</t>
  </si>
  <si>
    <t>Chao, Lee</t>
  </si>
  <si>
    <t>Intelligent Technologies</t>
  </si>
  <si>
    <t>Medical Information Science Reference</t>
  </si>
  <si>
    <t>Jennex, Murray E.</t>
  </si>
  <si>
    <t>Medical Technologies and Healthcare</t>
  </si>
  <si>
    <t>658.3</t>
  </si>
  <si>
    <t>006.7</t>
  </si>
  <si>
    <t>658.4/063</t>
  </si>
  <si>
    <t>Business Technologies</t>
  </si>
  <si>
    <t>Business Science Reference</t>
  </si>
  <si>
    <t>Information Science Reference</t>
  </si>
  <si>
    <t>Scupola, Ada</t>
  </si>
  <si>
    <t>Science &amp; Technology</t>
  </si>
  <si>
    <t>Tavana, Madjid</t>
  </si>
  <si>
    <t>Donnelly, Roisin</t>
  </si>
  <si>
    <t>Tomei, Lawrence A.</t>
  </si>
  <si>
    <t>Sugumaran, Vijayan</t>
  </si>
  <si>
    <t>Wei, Chia-Hung</t>
  </si>
  <si>
    <t>Thomas, Michael</t>
  </si>
  <si>
    <t>Lee, In</t>
  </si>
  <si>
    <t>Cruz-Cunha, Maria Manuela</t>
  </si>
  <si>
    <t>Kajan, Ejub</t>
  </si>
  <si>
    <t>Resilient Optical Network Design: Advances in Fault-Tolerant Methodologies</t>
  </si>
  <si>
    <t>Kavian, Yousef S.</t>
  </si>
  <si>
    <t>TK7882.P3C66</t>
  </si>
  <si>
    <t>9781613504307</t>
  </si>
  <si>
    <t>9781613504291</t>
  </si>
  <si>
    <t>Cross-Disciplinary Applications of Artificial Intelligence and Pattern Recognition: Advancing Technologies</t>
  </si>
  <si>
    <t>Mago, Vijay Kumar</t>
  </si>
  <si>
    <t>TK5105.5828.H36</t>
  </si>
  <si>
    <t>9781613504338</t>
  </si>
  <si>
    <t>9781613504321</t>
  </si>
  <si>
    <t>Handbook of Research on Service-Oriented Systems and Non-Functional Properties: Future Directions</t>
  </si>
  <si>
    <t>Reiff-Marganiec, Stephan</t>
  </si>
  <si>
    <t>572.80285</t>
  </si>
  <si>
    <t>QH324.2.S947</t>
  </si>
  <si>
    <t>9781613504369</t>
  </si>
  <si>
    <t>9781613504352</t>
  </si>
  <si>
    <t>Systemic Approaches in Bioinformatics and Computational Systems Biology: Recent Advances</t>
  </si>
  <si>
    <t>Lecca, Paola</t>
  </si>
  <si>
    <t>005.1/6</t>
  </si>
  <si>
    <t>QA76.76.S64E48</t>
  </si>
  <si>
    <t>9781613504390</t>
  </si>
  <si>
    <t>9781613504383</t>
  </si>
  <si>
    <t>Emerging Technologies for the Evolution and Maintenance of Software Models</t>
  </si>
  <si>
    <t>Rech, Jörg</t>
  </si>
  <si>
    <t>LB1028.3.I56634</t>
  </si>
  <si>
    <t>9781613504420</t>
  </si>
  <si>
    <t>9781613504413</t>
  </si>
  <si>
    <t>Interactivity in E-Learning: Case Studies and Frameworks</t>
  </si>
  <si>
    <t>Wang, Haomin</t>
  </si>
  <si>
    <t>302.3</t>
  </si>
  <si>
    <t>HM741.S6343</t>
  </si>
  <si>
    <t>9781613504451</t>
  </si>
  <si>
    <t>9781613504444</t>
  </si>
  <si>
    <t>Social Networking and Community Behavior Modeling: Qualitative and Quantitative Measures</t>
  </si>
  <si>
    <t>Safar, Maytham</t>
  </si>
  <si>
    <t>006.3/5</t>
  </si>
  <si>
    <t>QA76.9.N38C76</t>
  </si>
  <si>
    <t>9781613504482</t>
  </si>
  <si>
    <t>9781613504475</t>
  </si>
  <si>
    <t>Cross-Disciplinary Advances in Applied Natural Language Processing: Issues and Approaches</t>
  </si>
  <si>
    <t>Boonthum-Denecke, Chutima</t>
  </si>
  <si>
    <t>HT165.5.G74</t>
  </si>
  <si>
    <t>9781613504543</t>
  </si>
  <si>
    <t>9781613504536</t>
  </si>
  <si>
    <t>Green and Ecological Technologies for Urban Planning: Creating Smart Cities</t>
  </si>
  <si>
    <t>Ercoskun, Ozge Yalciner</t>
  </si>
  <si>
    <t>621.39</t>
  </si>
  <si>
    <t>TK7885.C642</t>
  </si>
  <si>
    <t>9781613504574</t>
  </si>
  <si>
    <t>9781613504567</t>
  </si>
  <si>
    <t>Computer Engineering: Concepts, Methodologies, Tools and Applications</t>
  </si>
  <si>
    <t>HD30.2.A343</t>
  </si>
  <si>
    <t>9781613504604</t>
  </si>
  <si>
    <t>9781613504598</t>
  </si>
  <si>
    <t>Advancing Collaborative Knowledge Environments: New Trends in E-Collaboration</t>
  </si>
  <si>
    <t>Kock, Ned</t>
  </si>
  <si>
    <t>381/.142</t>
  </si>
  <si>
    <t>HF5548.32.T724</t>
  </si>
  <si>
    <t>9781613504635</t>
  </si>
  <si>
    <t>9781613504628</t>
  </si>
  <si>
    <t>Transformations in E-Business Technologies and Commerce: Emerging Impacts</t>
  </si>
  <si>
    <t>LB1028.3.A355</t>
  </si>
  <si>
    <t>9781613504697</t>
  </si>
  <si>
    <t>9781613504680</t>
  </si>
  <si>
    <t>Advancing Education with Information Communication Technologies: Facilitating New Trends</t>
  </si>
  <si>
    <t>QA76.9.D3C795</t>
  </si>
  <si>
    <t>9781613504727</t>
  </si>
  <si>
    <t>9781613504710</t>
  </si>
  <si>
    <t>Cross-Disciplinary Models and Applications of Database Management: Advancing Approaches</t>
  </si>
  <si>
    <t>QA76.9.D343E997</t>
  </si>
  <si>
    <t>9781613504758</t>
  </si>
  <si>
    <t>9781613504741</t>
  </si>
  <si>
    <t>Exploring Advances in Interdisciplinary Data Mining and Analytics: New Trends</t>
  </si>
  <si>
    <t>TK5105.N495</t>
  </si>
  <si>
    <t>9781613504789</t>
  </si>
  <si>
    <t>9781613504772</t>
  </si>
  <si>
    <t>Next Generation Data Communication Technologies: Emerging Trends</t>
  </si>
  <si>
    <t>Saha, Debashis</t>
  </si>
  <si>
    <t>LC5800.I567</t>
  </si>
  <si>
    <t>9781613504840</t>
  </si>
  <si>
    <t>9781613504833</t>
  </si>
  <si>
    <t>Intelligent Learning Systems and Advancements in Computer-Aided Instruction: Emerging Studies</t>
  </si>
  <si>
    <t>Jin, Qun</t>
  </si>
  <si>
    <t>658.4/01</t>
  </si>
  <si>
    <t>HD30.213.F74</t>
  </si>
  <si>
    <t>9781613504871</t>
  </si>
  <si>
    <t>9781613504864</t>
  </si>
  <si>
    <t>Free and Open Source Enterprise Resource Planning: Systems and Strategies</t>
  </si>
  <si>
    <t>Carvalho, Rogerio Atem de</t>
  </si>
  <si>
    <t>TK5105.59.D54</t>
  </si>
  <si>
    <t>9781613504994</t>
  </si>
  <si>
    <t>9781613504987</t>
  </si>
  <si>
    <t>Digital Identity and Access Management: Technologies and Frameworks</t>
  </si>
  <si>
    <t>Sharman, Raj</t>
  </si>
  <si>
    <t>HF5548.37.P755</t>
  </si>
  <si>
    <t>9781613505021</t>
  </si>
  <si>
    <t>9781613505014</t>
  </si>
  <si>
    <t>Privacy Protection Measures and Technologies in Business Organizations: Aspects and Standards</t>
  </si>
  <si>
    <t>Yee, George O.M.</t>
  </si>
  <si>
    <t>HD38.5.S89623</t>
  </si>
  <si>
    <t>9781613505052</t>
  </si>
  <si>
    <t>9781613505045</t>
  </si>
  <si>
    <t>Supply Chain Sustainability and Raw Material Management: Concepts and Processes</t>
  </si>
  <si>
    <t>Farahani, Reza Zanjirani</t>
  </si>
  <si>
    <t>HD49.I54</t>
  </si>
  <si>
    <t>9781613505083</t>
  </si>
  <si>
    <t>9781613505076</t>
  </si>
  <si>
    <t>Information Assurance and Security Technologies for Risk Assessment and Threat Management: Advances</t>
  </si>
  <si>
    <t>Chou, Te-Shun</t>
  </si>
  <si>
    <t>302.30285</t>
  </si>
  <si>
    <t>HM742.S6288</t>
  </si>
  <si>
    <t>9781613505144</t>
  </si>
  <si>
    <t>9781613505137</t>
  </si>
  <si>
    <t>Social Network Mining, Analysis and Research Trends: Techniques and Applications</t>
  </si>
  <si>
    <t>Ting, I-Hsien</t>
  </si>
  <si>
    <t>QA76.9.U83U8375</t>
  </si>
  <si>
    <t>9781613505175</t>
  </si>
  <si>
    <t>9781613505168</t>
  </si>
  <si>
    <t>User Interface Design for Virtual Environments: Challenges and Advances</t>
  </si>
  <si>
    <t>Khan, Badrul H.</t>
  </si>
  <si>
    <t>658.02/2</t>
  </si>
  <si>
    <t>HD2341.S6236</t>
  </si>
  <si>
    <t>9781613505205</t>
  </si>
  <si>
    <t>9781613505199</t>
  </si>
  <si>
    <t>SMEs and Open Innovation: Global Cases and Initiatives</t>
  </si>
  <si>
    <t>Rahman, Hakikur</t>
  </si>
  <si>
    <t>364.3</t>
  </si>
  <si>
    <t>HV6773.K57</t>
  </si>
  <si>
    <t>9781613503515</t>
  </si>
  <si>
    <t>9781613503508</t>
  </si>
  <si>
    <t>The Psychology of Cyber Crime: Concepts and Principles</t>
  </si>
  <si>
    <t>Kirwan, Grainne</t>
  </si>
  <si>
    <t>HD30.2.C3788</t>
  </si>
  <si>
    <t>9781613503126</t>
  </si>
  <si>
    <t>9781613503119</t>
  </si>
  <si>
    <t>Cases on E-Readiness and Information Systems Management in Organizations: Tools for Maximizing Strategic Alignment</t>
  </si>
  <si>
    <t>Alshawi, Mustafa</t>
  </si>
  <si>
    <t>338.6/42</t>
  </si>
  <si>
    <t>HD2341.C378</t>
  </si>
  <si>
    <t>9781613503157</t>
  </si>
  <si>
    <t>9781613503140</t>
  </si>
  <si>
    <t>Cases on SMEs and Open Innovation: Applications and Investigations</t>
  </si>
  <si>
    <t>364.16/62</t>
  </si>
  <si>
    <t>QA76.575.I233</t>
  </si>
  <si>
    <t>9781613501368</t>
  </si>
  <si>
    <t>9781613501351</t>
  </si>
  <si>
    <t>Information Technology for Intellectual Property Protection: Interdisciplinary Advancements</t>
  </si>
  <si>
    <t>HD45.O63</t>
  </si>
  <si>
    <t>9781613503423</t>
  </si>
  <si>
    <t>9781613503416</t>
  </si>
  <si>
    <t>Open Innovation in Firms and Public Administrations: Technologies for Value Creation</t>
  </si>
  <si>
    <t>Heredero, Carmen de Pablos</t>
  </si>
  <si>
    <t>TK5105.5828.S47</t>
  </si>
  <si>
    <t>9781613501603</t>
  </si>
  <si>
    <t>9781613501597</t>
  </si>
  <si>
    <t>Service Life Cycle Tools and Technologies: Methods, Trends, and Advances</t>
  </si>
  <si>
    <t>Lee, Jonathan</t>
  </si>
  <si>
    <t>LB1028.3.I56525</t>
  </si>
  <si>
    <t>9781613501993</t>
  </si>
  <si>
    <t>9781613501986</t>
  </si>
  <si>
    <t>Instructional Technology Research, Design and Development: Lessons from the Field</t>
  </si>
  <si>
    <t>Alias, Nor Aziah</t>
  </si>
  <si>
    <t>020</t>
  </si>
  <si>
    <t>Z665.S895</t>
  </si>
  <si>
    <t>9781613502020</t>
  </si>
  <si>
    <t>9781613502013</t>
  </si>
  <si>
    <t>Systems Science and Collaborative Information Systems: Theories, Practices and New Research</t>
  </si>
  <si>
    <t>Currás, Emilia</t>
  </si>
  <si>
    <t>HF5549.H79155</t>
  </si>
  <si>
    <t>9781613502082</t>
  </si>
  <si>
    <t>9781613502075</t>
  </si>
  <si>
    <t>Human Resource Management in the Digital Economy: Creating Synergy between Competency Models and Information</t>
  </si>
  <si>
    <t>Juana-Espinosa, Susana de</t>
  </si>
  <si>
    <t>372.133/4</t>
  </si>
  <si>
    <t>LB1139.35.C64C47</t>
  </si>
  <si>
    <t>9781613503188</t>
  </si>
  <si>
    <t>9781613503171</t>
  </si>
  <si>
    <t>Child Development and the Use of Technology: Perspectives, Applications and Experiences</t>
  </si>
  <si>
    <t>Blake, Sally</t>
  </si>
  <si>
    <t>621.36/7015181</t>
  </si>
  <si>
    <t>QA9.58.D47</t>
  </si>
  <si>
    <t>9781613503270</t>
  </si>
  <si>
    <t>9781613503263</t>
  </si>
  <si>
    <t>Depth Map and 3D Imaging Applications: Algorithms and Technologies</t>
  </si>
  <si>
    <t>Malik, Aamir Saeed</t>
  </si>
  <si>
    <t>020.9172/4</t>
  </si>
  <si>
    <t>Z665.2.D44L58</t>
  </si>
  <si>
    <t>9781613503362</t>
  </si>
  <si>
    <t>9781613503355</t>
  </si>
  <si>
    <t>Library and Information Science in Developing Countries: Contemporary Issues</t>
  </si>
  <si>
    <t>Tella, A.</t>
  </si>
  <si>
    <t>QA76.76.H94X4184</t>
  </si>
  <si>
    <t>9781613503577</t>
  </si>
  <si>
    <t>9781613503560</t>
  </si>
  <si>
    <t>XML Data Mining: Models, Methods, and Applications</t>
  </si>
  <si>
    <t>Tagarelli, Andrea</t>
  </si>
  <si>
    <t>TK5103.2.M63155</t>
  </si>
  <si>
    <t>9781613501511</t>
  </si>
  <si>
    <t>9781613501504</t>
  </si>
  <si>
    <t>Mobile Technology Consumption: Opportunities and Challenges</t>
  </si>
  <si>
    <t>TK5105.59.P757</t>
  </si>
  <si>
    <t>9781609608378</t>
  </si>
  <si>
    <t>9781609608361</t>
  </si>
  <si>
    <t>Privacy, Intrusion Detection, and Response: Technologies for Protecting Networks</t>
  </si>
  <si>
    <t>Kabiri, Peyman</t>
  </si>
  <si>
    <t>R858.E285</t>
  </si>
  <si>
    <t>9781613501245</t>
  </si>
  <si>
    <t>9781613501238</t>
  </si>
  <si>
    <t>E-Healthcare Systems and Wireless Communications: Current and Future Challenges</t>
  </si>
  <si>
    <t>Watfa, Mohamed K.</t>
  </si>
  <si>
    <t>HD38.5.S8954</t>
  </si>
  <si>
    <t>9781609605865</t>
  </si>
  <si>
    <t>9781609605858</t>
  </si>
  <si>
    <t>Supply Chain Innovation for Competing in Highly Dynamic Markets: Challenges and Solutions</t>
  </si>
  <si>
    <t>Evangelista, Pietro</t>
  </si>
  <si>
    <t>371.9/046</t>
  </si>
  <si>
    <t>LC4015.D545</t>
  </si>
  <si>
    <t>9781613501849</t>
  </si>
  <si>
    <t>9781613501832</t>
  </si>
  <si>
    <t>Disabled Students in Education: Technology, Transition, and Inclusivity</t>
  </si>
  <si>
    <t>Moore, David</t>
  </si>
  <si>
    <t>381/.45302231</t>
  </si>
  <si>
    <t>HD9696.A2.U45</t>
  </si>
  <si>
    <t>9781613501481</t>
  </si>
  <si>
    <t>9781613501474</t>
  </si>
  <si>
    <t>Understanding the Interactive Digital Media Marketplace: Frameworks, Platforms, Communities and Issues</t>
  </si>
  <si>
    <t>Sharma, Ravi S.</t>
  </si>
  <si>
    <t>005.7</t>
  </si>
  <si>
    <t>QA76.5913.S47</t>
  </si>
  <si>
    <t>9781609601287</t>
  </si>
  <si>
    <t>9781609601263</t>
  </si>
  <si>
    <t>Semantic Technologies for Business and Information Systems Engineering: Concepts and Applications</t>
  </si>
  <si>
    <t>Smolnik, Stefan</t>
  </si>
  <si>
    <t>Q335.D43</t>
  </si>
  <si>
    <t>9781609601676</t>
  </si>
  <si>
    <t>9781609601652</t>
  </si>
  <si>
    <t>Decision Theory Models for Applications in Artificial Intelligence: Concepts and Solutions</t>
  </si>
  <si>
    <t>Sucar, L. Enrique</t>
  </si>
  <si>
    <t>QA76.9.N38A68</t>
  </si>
  <si>
    <t>9781609607425</t>
  </si>
  <si>
    <t>9781609607418</t>
  </si>
  <si>
    <t>Applied Natural Language Processing: Identification, Investigation and Resolution</t>
  </si>
  <si>
    <t>McCarthy, Philip M.</t>
  </si>
  <si>
    <t>930.10285</t>
  </si>
  <si>
    <t>CC75.7.P38</t>
  </si>
  <si>
    <t>9781609607876</t>
  </si>
  <si>
    <t>9781609607869</t>
  </si>
  <si>
    <t>Pattern Recognition and Signal Processing in Archaeometry: Mathematical and Computational Solutions for Archaeology</t>
  </si>
  <si>
    <t>Papaodysseus, Constantin</t>
  </si>
  <si>
    <t>QA76.9.S63Q36</t>
  </si>
  <si>
    <t>9781609608828</t>
  </si>
  <si>
    <t>9781609608811</t>
  </si>
  <si>
    <t>Quantitative Semantics and Soft Computing Methods for the Web: Perspectives and Applications</t>
  </si>
  <si>
    <t>Brena, Ramon F.</t>
  </si>
  <si>
    <t>TS155.O594</t>
  </si>
  <si>
    <t>9781613500484</t>
  </si>
  <si>
    <t>9781613500477</t>
  </si>
  <si>
    <t>Operations Management Research and Cellular Manufacturing Systems: Innovative Methods and Approaches</t>
  </si>
  <si>
    <t>Modrák, Vladimir</t>
  </si>
  <si>
    <t>T10.5.C5929</t>
  </si>
  <si>
    <t>9781613500781</t>
  </si>
  <si>
    <t>9781613500774</t>
  </si>
  <si>
    <t>Computer-Mediated Communication: Issues and Approaches in Education</t>
  </si>
  <si>
    <t>Kelsey, Sigrid</t>
  </si>
  <si>
    <t>501/.13</t>
  </si>
  <si>
    <t>Q183.9.H36</t>
  </si>
  <si>
    <t>9781613501177</t>
  </si>
  <si>
    <t>9781613501160</t>
  </si>
  <si>
    <t>Handbook of Research on Computational Science and Engineering: Theory and Practice</t>
  </si>
  <si>
    <t>Leng, Joanna</t>
  </si>
  <si>
    <t>QA76.575.I254</t>
  </si>
  <si>
    <t>9781613501276</t>
  </si>
  <si>
    <t>9781613501269</t>
  </si>
  <si>
    <t>Intelligent Multimedia Databases and Information Retrieval: Advancing Applications and Technologies</t>
  </si>
  <si>
    <t>TK5105.15.M85</t>
  </si>
  <si>
    <t>9781613501450</t>
  </si>
  <si>
    <t>9781613501443</t>
  </si>
  <si>
    <t>Multimedia Services and Streaming for Mobile Devices: Challenges and Innovations</t>
  </si>
  <si>
    <t>Sarmiento, Alvaro Suarez</t>
  </si>
  <si>
    <t>621.31</t>
  </si>
  <si>
    <t>TK1010.I45</t>
  </si>
  <si>
    <t>9781613501399</t>
  </si>
  <si>
    <t>9781613501382</t>
  </si>
  <si>
    <t>Innovation in Power, Control, and Optimization: Emerging Energy Technologies</t>
  </si>
  <si>
    <t>Vasant, Pandian</t>
  </si>
  <si>
    <t>QA76.9.C58C65</t>
  </si>
  <si>
    <t>9781613501146</t>
  </si>
  <si>
    <t>9781613501139</t>
  </si>
  <si>
    <t>Computational and Data Grids: Principles, Applications and Design</t>
  </si>
  <si>
    <t>Preve, Nikolaos</t>
  </si>
  <si>
    <t>006.2/4</t>
  </si>
  <si>
    <t>TK7882.B56C66</t>
  </si>
  <si>
    <t>9781613501306</t>
  </si>
  <si>
    <t>9781613501290</t>
  </si>
  <si>
    <t>Continuous Authentication Using Biometrics: Data, Models, and Metrics</t>
  </si>
  <si>
    <t>Traore, Issa</t>
  </si>
  <si>
    <t>QA76.9.D343P396</t>
  </si>
  <si>
    <t>9781613500576</t>
  </si>
  <si>
    <t>9781613500569</t>
  </si>
  <si>
    <t>Pattern Discovery Using Sequence Data Mining: Applications and Studies</t>
  </si>
  <si>
    <t>Kumar, Pradeep</t>
  </si>
  <si>
    <t>Z711.45.E18</t>
  </si>
  <si>
    <t>9781613503096</t>
  </si>
  <si>
    <t>9781613503089</t>
  </si>
  <si>
    <t>E-Reference Context and Discoverability in Libraries: Issues and Concepts</t>
  </si>
  <si>
    <t>Polanka, Sue</t>
  </si>
  <si>
    <t>HC79.E5A34</t>
  </si>
  <si>
    <t>9781613501573</t>
  </si>
  <si>
    <t>9781613501566</t>
  </si>
  <si>
    <t>Advanced Analytics for Green and Sustainable Economic Development: Supply Chain Models and Financial Technologies</t>
  </si>
  <si>
    <t>HD30.2.K63683</t>
  </si>
  <si>
    <t>9781613501962</t>
  </si>
  <si>
    <t>9781613501955</t>
  </si>
  <si>
    <t>Knowledge Management 2.0: Organizational Models and Enterprise Strategies</t>
  </si>
  <si>
    <t>Boughzala, Imed</t>
  </si>
  <si>
    <t>HD38.7.B8715</t>
  </si>
  <si>
    <t>9781613500514</t>
  </si>
  <si>
    <t>9781613500507</t>
  </si>
  <si>
    <t>Business Intelligence and Agile Methodologies for Knowledge-Based Organizations: Cross-Disciplinary Applications</t>
  </si>
  <si>
    <t>Sheikh, Asim Abdel Rahman El</t>
  </si>
  <si>
    <t>658.8/27</t>
  </si>
  <si>
    <t>HF5415.1255.B72</t>
  </si>
  <si>
    <t>9781613501726</t>
  </si>
  <si>
    <t>9781613501719</t>
  </si>
  <si>
    <t>Branding and Sustainable Competitive Advantage: Building Virtual Presence</t>
  </si>
  <si>
    <t>Kapoor, Avinash</t>
  </si>
  <si>
    <t>TK7872.D48V57</t>
  </si>
  <si>
    <t>9781613501542</t>
  </si>
  <si>
    <t>9781613501535</t>
  </si>
  <si>
    <t>Visual Information Processing in Wireless Sensor Networks: Technology, Trends and Applications</t>
  </si>
  <si>
    <t>Ang, Li-minn</t>
  </si>
  <si>
    <t>658.4/7202854678</t>
  </si>
  <si>
    <t>HD38.7.B8716</t>
  </si>
  <si>
    <t>9781613500392</t>
  </si>
  <si>
    <t>9781613500385</t>
  </si>
  <si>
    <t>Business Intelligence Applications and the Web: Models, Systems and Technologies</t>
  </si>
  <si>
    <t>Zorrilla, Marta E.</t>
  </si>
  <si>
    <t>P53.28.C6643</t>
  </si>
  <si>
    <t>9781613500668</t>
  </si>
  <si>
    <t>9781613500651</t>
  </si>
  <si>
    <t>Computer-Enhanced and Mobile-Assisted Language Learning: Emerging Issues and Trends</t>
  </si>
  <si>
    <t>Zhang, Felicia</t>
  </si>
  <si>
    <t>362.1068/4</t>
  </si>
  <si>
    <t>RT42.Q35</t>
  </si>
  <si>
    <t>9781613501214</t>
  </si>
  <si>
    <t>9781613501207</t>
  </si>
  <si>
    <t>Quality Assurance in Healthcare Service Delivery, Nursing and Personalized Medicine: Technologies and Processes</t>
  </si>
  <si>
    <t>HD30.2.T4235</t>
  </si>
  <si>
    <t>9781613501665</t>
  </si>
  <si>
    <t>9781613501658</t>
  </si>
  <si>
    <t>Technological, Managerial and Organizational Core Competencies: Dynamic Innovation and Sustainable Development</t>
  </si>
  <si>
    <t>Nobre, Farley Simon</t>
  </si>
  <si>
    <t>QA76.59.U25</t>
  </si>
  <si>
    <t>9781613501085</t>
  </si>
  <si>
    <t>9781613501078</t>
  </si>
  <si>
    <t>Ubiquitous Multimedia and Mobile Agents: Models and Implementations</t>
  </si>
  <si>
    <t>Bagchi, Susmit</t>
  </si>
  <si>
    <t>910.68</t>
  </si>
  <si>
    <t>G155.A1G4877</t>
  </si>
  <si>
    <t>9781613500422</t>
  </si>
  <si>
    <t>9781613500415</t>
  </si>
  <si>
    <t>Global Hospitality and Tourism Management Technologies</t>
  </si>
  <si>
    <t>Pablos, Patricia Ordóñez de</t>
  </si>
  <si>
    <t>001.4/226</t>
  </si>
  <si>
    <t>QA276.3.G68</t>
  </si>
  <si>
    <t>9781613500545</t>
  </si>
  <si>
    <t>9781613500538</t>
  </si>
  <si>
    <t>Graph Data Management: Techniques and Applications</t>
  </si>
  <si>
    <t>Sakr, Sherif</t>
  </si>
  <si>
    <t>QA76.9.D5A3443</t>
  </si>
  <si>
    <t>9781613501115</t>
  </si>
  <si>
    <t>9781613501108</t>
  </si>
  <si>
    <t>Advancements in Distributed Computing and Internet Technologies: Trends and Issues</t>
  </si>
  <si>
    <t>Pathan, Al-Sakib Khan</t>
  </si>
  <si>
    <t> 371.33/4</t>
  </si>
  <si>
    <t>LB1028.73.I577</t>
  </si>
  <si>
    <t>9781609608439</t>
  </si>
  <si>
    <t>9781609608422</t>
  </si>
  <si>
    <t>Intelligent and Adaptive Learning Systems: Technology Enhanced Support for Learners and Teachers</t>
  </si>
  <si>
    <t>Graf, Sabine</t>
  </si>
  <si>
    <t>LB2395.7.H55</t>
  </si>
  <si>
    <t>9781609608859</t>
  </si>
  <si>
    <t>9781609608842</t>
  </si>
  <si>
    <t>Higher Education Institutions and Learning Management Systems: Adoption and Standardization</t>
  </si>
  <si>
    <t>Babo, Rosalina</t>
  </si>
  <si>
    <t>HF5415.5.C833</t>
  </si>
  <si>
    <t>9781613500903</t>
  </si>
  <si>
    <t>9781613500897</t>
  </si>
  <si>
    <t>Customer-Centric Knowledge Management: Concepts and Applications</t>
  </si>
  <si>
    <t>Al-Shammari, Minwir Mallouh</t>
  </si>
  <si>
    <t>658.5/3</t>
  </si>
  <si>
    <t>T57.6.H93</t>
  </si>
  <si>
    <t>9781613500873</t>
  </si>
  <si>
    <t>9781613500866</t>
  </si>
  <si>
    <t>Hybrid Algorithms for Service, Computing and Manufacturing Systems: Routing and Scheduling Solutions</t>
  </si>
  <si>
    <t>Montoya-Torres, Jairo R.</t>
  </si>
  <si>
    <t>658.8/1202854678</t>
  </si>
  <si>
    <t>HF5415.5.C83614</t>
  </si>
  <si>
    <t>9781613500453</t>
  </si>
  <si>
    <t>9781613500446</t>
  </si>
  <si>
    <t>Customer Relationship Management and the Social and Semantic Web: Enabling Cliens Conexus</t>
  </si>
  <si>
    <t>Colomo-Palacios, Ricardo</t>
  </si>
  <si>
    <t>621.381/32</t>
  </si>
  <si>
    <t>TK7876.A325</t>
  </si>
  <si>
    <t>9781605668871</t>
  </si>
  <si>
    <t>9781605668864</t>
  </si>
  <si>
    <t>Advances in Monolithic Microwave Integrated Circuits for Wireless Systems: Modeling and Design Technologies</t>
  </si>
  <si>
    <t>Marzuki, Arjuna</t>
  </si>
  <si>
    <t>JF1525.A8S885</t>
  </si>
  <si>
    <t>9781609608644</t>
  </si>
  <si>
    <t>9781609608637</t>
  </si>
  <si>
    <t>Strategic Enterprise Resource Planning Models for E-Government: Applications and Methodologies</t>
  </si>
  <si>
    <t>507.1</t>
  </si>
  <si>
    <t>Q181.S86</t>
  </si>
  <si>
    <t>9781613500637</t>
  </si>
  <si>
    <t>9781613500620</t>
  </si>
  <si>
    <t>Sustainable Language Support Practices in Science Education: Technologies and Solutions</t>
  </si>
  <si>
    <t>TK5103.2.W5754</t>
  </si>
  <si>
    <t>9781613501023</t>
  </si>
  <si>
    <t>9781613501016</t>
  </si>
  <si>
    <t>Wireless Technologies: Concepts, Methodologies, Tools and Applications</t>
  </si>
  <si>
    <t>384.3/3</t>
  </si>
  <si>
    <t>TK5105.88813.I55</t>
  </si>
  <si>
    <t>9781613501054</t>
  </si>
  <si>
    <t>9781613501047</t>
  </si>
  <si>
    <t>Innovations, Standards, and Practices of Web Services: Emerging Research Topics</t>
  </si>
  <si>
    <t>Zhang, Liang-Jie</t>
  </si>
  <si>
    <t>HD58.82.O7433</t>
  </si>
  <si>
    <t>9781609607845</t>
  </si>
  <si>
    <t>9781609607838</t>
  </si>
  <si>
    <t>Organizational Learning and Knowledge: Concepts, Methodologies, Tools and Applications</t>
  </si>
  <si>
    <t>QH324.2.O58</t>
  </si>
  <si>
    <t>9781609605582</t>
  </si>
  <si>
    <t>9781609605575</t>
  </si>
  <si>
    <t>Feature Selection and Ensemble Methods for Bioinformatics: Algorithmic Classification and Implementations</t>
  </si>
  <si>
    <t>Okun, Oleg</t>
  </si>
  <si>
    <t>616.8/3</t>
  </si>
  <si>
    <t>RC521.E27</t>
  </si>
  <si>
    <t>9781609605605</t>
  </si>
  <si>
    <t>9781609605599</t>
  </si>
  <si>
    <t>Early Detection and Rehabilitation Technologies for Dementia: Neuroscience and Biomedical Applications</t>
  </si>
  <si>
    <t>Wu, Jinglong</t>
  </si>
  <si>
    <t>QA76.59.H86</t>
  </si>
  <si>
    <t>9781609605001</t>
  </si>
  <si>
    <t>9781609604998</t>
  </si>
  <si>
    <t>Human-Computer Interaction and Innovation in Handheld, Mobile and Wearable Technologies</t>
  </si>
  <si>
    <t>005.3</t>
  </si>
  <si>
    <t>QA76.76.S46M97</t>
  </si>
  <si>
    <t>9781609605148</t>
  </si>
  <si>
    <t>9781609605131</t>
  </si>
  <si>
    <t>Multi-Disciplinary Advancement in Open Source Software and Processes</t>
  </si>
  <si>
    <t>Koch, Stefan</t>
  </si>
  <si>
    <t>302.23/1083</t>
  </si>
  <si>
    <t>QA76.76.I59I573</t>
  </si>
  <si>
    <t>9781609602086</t>
  </si>
  <si>
    <t>9781609602062</t>
  </si>
  <si>
    <t>Interactive Media Use and Youth: Learning, Knowledge Exchange and Behavior</t>
  </si>
  <si>
    <t>362.140285</t>
  </si>
  <si>
    <t>RA645.3.S55</t>
  </si>
  <si>
    <t>9781609601829</t>
  </si>
  <si>
    <t>9781609601805</t>
  </si>
  <si>
    <t>Smart Healthcare Applications and Services: Developments and Practices</t>
  </si>
  <si>
    <t>Röcker, Carsten</t>
  </si>
  <si>
    <t>HD58.82.S63</t>
  </si>
  <si>
    <t>9781609602055</t>
  </si>
  <si>
    <t>9781609602031</t>
  </si>
  <si>
    <t>Social Knowledge: Using Social Media to Know What You Know</t>
  </si>
  <si>
    <t>Girard, John P.</t>
  </si>
  <si>
    <t>HD30.2.M36455</t>
  </si>
  <si>
    <t>9781609600730</t>
  </si>
  <si>
    <t>9781609600716</t>
  </si>
  <si>
    <t>Managing Knowledge Assets and Business Value Creation in Organizations: Measures and Dynamics</t>
  </si>
  <si>
    <t>Schiuma, Giovanni</t>
  </si>
  <si>
    <t>TK5103.4.A36</t>
  </si>
  <si>
    <t>9781609600136</t>
  </si>
  <si>
    <t>9781609600112</t>
  </si>
  <si>
    <t>Adoption, Usage, and Global Impact of Broadband Technologies: Diffusion, Practice and Policy</t>
  </si>
  <si>
    <t>Dwivedi, Yogesh K.</t>
  </si>
  <si>
    <t>HD53.I34</t>
  </si>
  <si>
    <t>9781609600563</t>
  </si>
  <si>
    <t>9781609600549</t>
  </si>
  <si>
    <t>Identifying, Measuring, and Valuing Knowledge-Based Intangible Assets: New Perspectives</t>
  </si>
  <si>
    <t>Vallejo-Alonso, Belen</t>
  </si>
  <si>
    <t>371.33/468</t>
  </si>
  <si>
    <t>LB1044.87.V575</t>
  </si>
  <si>
    <t>9781616928278</t>
  </si>
  <si>
    <t>9781616928254</t>
  </si>
  <si>
    <t>Virtual Immersive and 3D Learning Spaces: Emerging Technologies and Trends</t>
  </si>
  <si>
    <t>Hai-Jew, Shalin</t>
  </si>
  <si>
    <t>RC78.7.D53B555</t>
  </si>
  <si>
    <t>9781605662817</t>
  </si>
  <si>
    <t>9781605662800</t>
  </si>
  <si>
    <t>Biomedical Diagnostics and Clinical Technologies: Applying High-Performance Cluster and Grid Computing</t>
  </si>
  <si>
    <t>Pereira, Manuela</t>
  </si>
  <si>
    <t>378.1/734</t>
  </si>
  <si>
    <t>LB2395.7.C75</t>
  </si>
  <si>
    <t>9781615208807</t>
  </si>
  <si>
    <t>9781615208791</t>
  </si>
  <si>
    <t>Critical Design and Effective Tools for E-Learning in Higher Education: Theory into Practice</t>
  </si>
  <si>
    <t>388.3/12</t>
  </si>
  <si>
    <t>TE228.37.A38</t>
  </si>
  <si>
    <t>9781615209149</t>
  </si>
  <si>
    <t>9781615209132</t>
  </si>
  <si>
    <t>Advances in Vehicular Ad-Hoc Networks: Developments and Challenges</t>
  </si>
  <si>
    <t>Watfa, Mohamed</t>
  </si>
  <si>
    <t>371.39/7</t>
  </si>
  <si>
    <t>LB1029.G3D48</t>
  </si>
  <si>
    <t>9781615207824</t>
  </si>
  <si>
    <t>9781615207817</t>
  </si>
  <si>
    <t>Design and Implementation of Educational Games: Theoretical and Practical Perspectives</t>
  </si>
  <si>
    <t>Zemliansky, Pavel</t>
  </si>
  <si>
    <t>R858.B5625</t>
  </si>
  <si>
    <t>9781605662671</t>
  </si>
  <si>
    <t>9781605662664</t>
  </si>
  <si>
    <t>Biomedical Knowledge Management: Infrastructures and Processes for E-Health Systems</t>
  </si>
  <si>
    <t>Pease, Wayne</t>
  </si>
  <si>
    <t>670.285</t>
  </si>
  <si>
    <t>T173.8.Z486</t>
  </si>
  <si>
    <t>9781605668659</t>
  </si>
  <si>
    <t>9781605668642</t>
  </si>
  <si>
    <t>Manufacturing Intelligence for Industrial Engineering: Methods for System Self-Organization, Learning, and Adaptation</t>
  </si>
  <si>
    <t>Zhou, Zude</t>
  </si>
  <si>
    <t>HF5548.32.E5855</t>
  </si>
  <si>
    <t>9781615205981</t>
  </si>
  <si>
    <t>9781615205974</t>
  </si>
  <si>
    <t>E-Entrepreneurship and ICT Ventures: Strategy, Organization and Technology</t>
  </si>
  <si>
    <t>Kollmann, Tobias</t>
  </si>
  <si>
    <t>GV1469.34.S52E86</t>
  </si>
  <si>
    <t>9781615208463</t>
  </si>
  <si>
    <t>9781615208456</t>
  </si>
  <si>
    <t>Ethics and Game Design: Teaching Values through Play</t>
  </si>
  <si>
    <t>Schrier, Karen</t>
  </si>
  <si>
    <t>TK5105.78.Q36</t>
  </si>
  <si>
    <t>9781615206810</t>
  </si>
  <si>
    <t>9781615206803</t>
  </si>
  <si>
    <t>Quality of Service Architectures for Wireless Networks: Performance Metrics and Management</t>
  </si>
  <si>
    <t>Adibi, Sasan</t>
  </si>
  <si>
    <t>QA76.76.D47F385</t>
  </si>
  <si>
    <t>9781615206506</t>
  </si>
  <si>
    <t>9781615206490</t>
  </si>
  <si>
    <t>Model Driven Architecture for Reverse Engineering Technologies: Strategic Directions and System Evolution</t>
  </si>
  <si>
    <t>Favre, Liliana</t>
  </si>
  <si>
    <t>LB1044.87.A385</t>
  </si>
  <si>
    <t>9781605669410</t>
  </si>
  <si>
    <t>9781605669403</t>
  </si>
  <si>
    <t>Affective, Interactive and Cognitive Methods for E-Learning Design: Creating an Optimal Education Experience</t>
  </si>
  <si>
    <t>Tzanavari, Aimilia</t>
  </si>
  <si>
    <t>LB1029.G3E34</t>
  </si>
  <si>
    <t>9781615207329</t>
  </si>
  <si>
    <t>9781615207312</t>
  </si>
  <si>
    <t>Educational Gameplay and Simulation Environments: Case Studies and Lessons Learned</t>
  </si>
  <si>
    <t>Kaufman, David</t>
  </si>
  <si>
    <t>384</t>
  </si>
  <si>
    <t>TK5105.5.N466864</t>
  </si>
  <si>
    <t>9781605669878</t>
  </si>
  <si>
    <t>9781605669861</t>
  </si>
  <si>
    <t>Networking and Telecommunications: Concepts, Methodologies, Tools and Applications</t>
  </si>
  <si>
    <t>Q197.M85</t>
  </si>
  <si>
    <t>9781615206919</t>
  </si>
  <si>
    <t>9781615206902</t>
  </si>
  <si>
    <t>Multiple Literacy and Science Education: ICTs in Formal and Informal Learning Environments</t>
  </si>
  <si>
    <t>Rodrigues, Susan</t>
  </si>
  <si>
    <t>TK5103.2.F683</t>
  </si>
  <si>
    <t>9781615206759</t>
  </si>
  <si>
    <t>9781615206742</t>
  </si>
  <si>
    <t>Fourth-Generation Wireless Networks: Applications and Innovations</t>
  </si>
  <si>
    <t>174</t>
  </si>
  <si>
    <t>HD30.2.S387</t>
  </si>
  <si>
    <t>9781605669236</t>
  </si>
  <si>
    <t>9781605669229</t>
  </si>
  <si>
    <t>Information Technology and the Ethics of Globalization: Transnational Issues and Implications</t>
  </si>
  <si>
    <t>Schultz, Robert A.</t>
  </si>
  <si>
    <t>QH324.2.B56</t>
  </si>
  <si>
    <t>9781605667690</t>
  </si>
  <si>
    <t>9781605667683</t>
  </si>
  <si>
    <t>Biocomputation and Biomedical Informatics: Case Studies and Applications</t>
  </si>
  <si>
    <t>QA76.9.D37E96</t>
  </si>
  <si>
    <t>9781605668178</t>
  </si>
  <si>
    <t>9781605668161</t>
  </si>
  <si>
    <t>Evolving Application Domains of Data Warehousing and Mining: Trends and Solutions</t>
  </si>
  <si>
    <t>Furtado, Pedro Nuno San-Banto</t>
  </si>
  <si>
    <t>LC5803.C65C64182</t>
  </si>
  <si>
    <t>9781605667300</t>
  </si>
  <si>
    <t>9781605667294</t>
  </si>
  <si>
    <t>Collective Intelligence and E-Learning 2.0: Implications of Web-Based Communities and Networking</t>
  </si>
  <si>
    <t>QA76.76.D47A395</t>
  </si>
  <si>
    <t>9781599046839</t>
  </si>
  <si>
    <t>9781599046815</t>
  </si>
  <si>
    <t>Agile Technologies in Open Source Development</t>
  </si>
  <si>
    <t>Russo, Barbara</t>
  </si>
  <si>
    <t>QA76.76.D47A82</t>
  </si>
  <si>
    <t>9781605667591</t>
  </si>
  <si>
    <t>9781605667584</t>
  </si>
  <si>
    <t>Artificial Intelligence Applications for Improved Software Engineering Development: New Prospects</t>
  </si>
  <si>
    <t>Meziane, Farid</t>
  </si>
  <si>
    <t>LB1044.87.C58</t>
  </si>
  <si>
    <t>9781605663937</t>
  </si>
  <si>
    <t>9781605663920</t>
  </si>
  <si>
    <t>Cognitive and Emotional Processes in Web-Based Education: Integrating Human Factors and Personalization</t>
  </si>
  <si>
    <t>Mourlas, Constantinos</t>
  </si>
  <si>
    <t>LB1029.G3G32</t>
  </si>
  <si>
    <t>9781605663616</t>
  </si>
  <si>
    <t>9781605663609</t>
  </si>
  <si>
    <t>Games-Based Learning Advancements for Multi-Sensory Human Computer Interfaces: Techniques and Effective Practices</t>
  </si>
  <si>
    <t>Connolly, Thomas</t>
  </si>
  <si>
    <t>QA76.9.D3H347326</t>
  </si>
  <si>
    <t>9781605662435</t>
  </si>
  <si>
    <t>9781605662428</t>
  </si>
  <si>
    <t>Handbook of Research on Innovations in Database Technologies and Applications: Current and Future Trends</t>
  </si>
  <si>
    <t>Ferraggine, Viviana E.</t>
  </si>
  <si>
    <t>006.4/2</t>
  </si>
  <si>
    <t>Q335.A78736</t>
  </si>
  <si>
    <t>9781605661759</t>
  </si>
  <si>
    <t>9781605661742</t>
  </si>
  <si>
    <t>Artificial Intelligence for Maximizing Content Based Image Retrieval</t>
  </si>
  <si>
    <t>Ma, Zongmin</t>
  </si>
  <si>
    <t>005.75/9</t>
  </si>
  <si>
    <t>QA76.9.D343H43</t>
  </si>
  <si>
    <t>9781599049915</t>
  </si>
  <si>
    <t>9781599049908</t>
  </si>
  <si>
    <t>Handbook of Research on Text and Web Mining Technologies</t>
  </si>
  <si>
    <t>Song, Min</t>
  </si>
  <si>
    <t>TK5105.59.H353</t>
  </si>
  <si>
    <t>9781599048567</t>
  </si>
  <si>
    <t>9781599048550</t>
  </si>
  <si>
    <t>Handbook of Research on Information Security and Assurance</t>
  </si>
  <si>
    <t>Gupta, Jatinder N. D.</t>
  </si>
  <si>
    <t>QA76.758.D476</t>
  </si>
  <si>
    <t>9781599047010</t>
  </si>
  <si>
    <t>9781599046990</t>
  </si>
  <si>
    <t>Designing Software-Intensive Systems: Methods and Principles</t>
  </si>
  <si>
    <t>Tiako, Pierre F.</t>
  </si>
  <si>
    <t>QA76.9.D343D38226</t>
  </si>
  <si>
    <t>9781599046594</t>
  </si>
  <si>
    <t>9781599046570</t>
  </si>
  <si>
    <t>Data Mining Applications for Empowering Knowledge Societies</t>
  </si>
  <si>
    <t>QA76.9.D32H336</t>
  </si>
  <si>
    <t>9781599048543</t>
  </si>
  <si>
    <t>9781599048536</t>
  </si>
  <si>
    <t>Handbook of Research on Fuzzy Information Processing in Databases</t>
  </si>
  <si>
    <t>Galindo, José</t>
  </si>
  <si>
    <t>著者</t>
  </si>
  <si>
    <t>主題</t>
    <phoneticPr fontId="3" type="noConversion"/>
  </si>
  <si>
    <t>題名</t>
    <phoneticPr fontId="3" type="noConversion"/>
  </si>
  <si>
    <t>杜威十進分類號</t>
  </si>
  <si>
    <t>國會分類號</t>
  </si>
  <si>
    <t>Alkhatib, Ghazi I.</t>
  </si>
  <si>
    <t>Nemati, Hamid R.</t>
  </si>
  <si>
    <t>Social Technologies and Human Computer Interaction</t>
  </si>
  <si>
    <t>Tatnall, Arthur</t>
  </si>
  <si>
    <t>Dunkels, Elza</t>
  </si>
  <si>
    <t>Castro, Eduardo A.</t>
  </si>
  <si>
    <t>Engineering Science Reference</t>
  </si>
  <si>
    <t>T58.5.D496</t>
  </si>
  <si>
    <t>9781466617445</t>
  </si>
  <si>
    <t>9781466617438</t>
  </si>
  <si>
    <t>Developments in Natural Intelligence Research and Knowledge Engineering: Advancing Applications</t>
  </si>
  <si>
    <t>Wang, Yingxu</t>
  </si>
  <si>
    <t>Knowledge Management, Interdisciplinary Technologies, and Library Science</t>
  </si>
  <si>
    <t>658.4/032</t>
  </si>
  <si>
    <t>HD30.213.I557</t>
  </si>
  <si>
    <t>9781466617476</t>
  </si>
  <si>
    <t>9781466617469</t>
  </si>
  <si>
    <t>Integrated and Strategic Advancements in Decision Making Support Systems</t>
  </si>
  <si>
    <t>Zaraté, Pascale</t>
  </si>
  <si>
    <t>QA76.618.P75</t>
  </si>
  <si>
    <t>9781466617506</t>
  </si>
  <si>
    <t>9781466617490</t>
  </si>
  <si>
    <t>Principal Concepts in Applied Evolutionary Computation: Emerging Trends</t>
  </si>
  <si>
    <t>Hong, Wei-Chiang Samuelson</t>
  </si>
  <si>
    <t>Electronic Government, Global Society, and the Environment</t>
  </si>
  <si>
    <t>HD30.2.K63614</t>
  </si>
  <si>
    <t>9781466617537</t>
  </si>
  <si>
    <t>9781466617520</t>
  </si>
  <si>
    <t>Knowledge and Technology Adoption, Diffusion, and Transfer: International Perspectives</t>
  </si>
  <si>
    <t>Zolait, Ali Hussein Saleh</t>
  </si>
  <si>
    <t>R858.A38</t>
  </si>
  <si>
    <t>9781466617568</t>
  </si>
  <si>
    <t>9781466617551</t>
  </si>
  <si>
    <t>Advancing Technologies and Intelligence in Healthcare and Clinical Environments: Breakthroughs</t>
  </si>
  <si>
    <t>Tan, Joseph</t>
  </si>
  <si>
    <t>HD30.213.E58</t>
  </si>
  <si>
    <t>9781466617629</t>
  </si>
  <si>
    <t>9781466617612</t>
  </si>
  <si>
    <t>Enterprise Information Systems and Advancing Business Solutions: Emerging Models</t>
  </si>
  <si>
    <t>HD30.213.I583</t>
  </si>
  <si>
    <t>9781466617650</t>
  </si>
  <si>
    <t>9781466617643</t>
  </si>
  <si>
    <t>Organizational Integration of Enterprise Systems and Resources: Advancements and Applications</t>
  </si>
  <si>
    <t>Varajão, João</t>
  </si>
  <si>
    <t>Software Technologies, Computer Science, and Engineering</t>
  </si>
  <si>
    <t>620/.0042</t>
  </si>
  <si>
    <t>TA168.T48</t>
  </si>
  <si>
    <t>9781466617681</t>
  </si>
  <si>
    <t>9781466617674</t>
  </si>
  <si>
    <t>Theoretical and Analytical Service-Focused Systems Design and Development</t>
  </si>
  <si>
    <t>Chiu, Dickson K.W.</t>
  </si>
  <si>
    <t>LB1044.87.D475</t>
  </si>
  <si>
    <t>9781466617711</t>
  </si>
  <si>
    <t>9781466617704</t>
  </si>
  <si>
    <t>Design, Implementation, and Evaluation of Virtual Learning Environments</t>
  </si>
  <si>
    <t>Security Technologies, Ethics, and Law</t>
  </si>
  <si>
    <t>170</t>
  </si>
  <si>
    <t>BJ59.E84</t>
  </si>
  <si>
    <t>9781466617742</t>
  </si>
  <si>
    <t>9781466617735</t>
  </si>
  <si>
    <t>Ethical Impact of Technological Advancements and Applications in Society</t>
  </si>
  <si>
    <t>HD30.28.B8647</t>
  </si>
  <si>
    <t>9781466617803</t>
  </si>
  <si>
    <t>9781466617797</t>
  </si>
  <si>
    <t>Business Strategy and Applications in Enterprise IT Governance</t>
  </si>
  <si>
    <t>Grembergen, Wim Van</t>
  </si>
  <si>
    <t>HD30.2.S952</t>
  </si>
  <si>
    <t>9781466617834</t>
  </si>
  <si>
    <t>9781466617827</t>
  </si>
  <si>
    <t>Systems Approaches to Knowledge Management, Transfer, and Resource Development</t>
  </si>
  <si>
    <t>Lee, W.B.</t>
  </si>
  <si>
    <t>Multimedia Technologies, Digital Communications, and Networking</t>
  </si>
  <si>
    <t>QA76.575.M48</t>
  </si>
  <si>
    <t>9781466617926</t>
  </si>
  <si>
    <t>9781466617919</t>
  </si>
  <si>
    <t>Methods and Innovations for Multimedia Database Content Management</t>
  </si>
  <si>
    <t>Chen, Shu-Ching</t>
  </si>
  <si>
    <t>TK5105.888.N4816</t>
  </si>
  <si>
    <t>9781466617957</t>
  </si>
  <si>
    <t>9781466617940</t>
  </si>
  <si>
    <t>Next Generation Content Delivery Infrastructures</t>
  </si>
  <si>
    <t>Fortino, Giancarlo</t>
  </si>
  <si>
    <t>621.39/81</t>
  </si>
  <si>
    <t>TK5103.2.D496</t>
  </si>
  <si>
    <t>9781466617988</t>
  </si>
  <si>
    <t>9781466617971</t>
  </si>
  <si>
    <t>Developments in Wireless Network Prototyping, Design and Deployment: Future Generations</t>
  </si>
  <si>
    <t>Matin, Mohammad A.</t>
  </si>
  <si>
    <t>HF5548.32.L435</t>
  </si>
  <si>
    <t>9781466618015</t>
  </si>
  <si>
    <t>9781466618008</t>
  </si>
  <si>
    <t>Electronic Commerce Management for Business Activities and Global Enterprises: Competitive Advantages</t>
  </si>
  <si>
    <t>QA76.9.D343I5743</t>
  </si>
  <si>
    <t>9781466618077</t>
  </si>
  <si>
    <t>9781466618060</t>
  </si>
  <si>
    <t>Intelligent Data Analysis for Real-Life Applications: Theory and Practice</t>
  </si>
  <si>
    <t>Magdalena-Benedito, Rafael</t>
  </si>
  <si>
    <t>658.4/036</t>
  </si>
  <si>
    <t>HM711.Y43</t>
  </si>
  <si>
    <t>9781466618190</t>
  </si>
  <si>
    <t>9781466618183</t>
  </si>
  <si>
    <t>Approaches for Community Decision Making and Collective Reasoning: Knowledge Technology Support</t>
  </si>
  <si>
    <t>Stranieri, Andrew</t>
  </si>
  <si>
    <t>025.5/24</t>
  </si>
  <si>
    <t>Z699.35.C38P58</t>
  </si>
  <si>
    <t>9781466618220</t>
  </si>
  <si>
    <t>9781466618213</t>
  </si>
  <si>
    <t>Planning and Implementing Resource Discovery Tools in Academic Libraries</t>
  </si>
  <si>
    <t>Popp, Mary Pagliero</t>
  </si>
  <si>
    <t>TK5105.65.U27</t>
  </si>
  <si>
    <t>9781466618282</t>
  </si>
  <si>
    <t>9781466618275</t>
  </si>
  <si>
    <t>Ubiquitous Positioning and Mobile Location-Based Services in Smart Phones</t>
  </si>
  <si>
    <t>Chen, Ruizhi</t>
  </si>
  <si>
    <t>Q342.M856</t>
  </si>
  <si>
    <t>9781466618312</t>
  </si>
  <si>
    <t>9781466618305</t>
  </si>
  <si>
    <t>Multidisciplinary Computational Intelligence Techniques: Applications in Business, Engineering and Medicine</t>
  </si>
  <si>
    <t>Ali, Shawkat</t>
  </si>
  <si>
    <t>003/.3</t>
  </si>
  <si>
    <t>Q325.5.M3215</t>
  </si>
  <si>
    <t>9781466618343</t>
  </si>
  <si>
    <t>9781466618336</t>
  </si>
  <si>
    <t>Machine Learning Algorithms for Problem Solving in Computational Applications: Intelligent Techniques</t>
  </si>
  <si>
    <t>Kulkarni, Siddhivinayak</t>
  </si>
  <si>
    <t>658</t>
  </si>
  <si>
    <t>HD62.37.M356</t>
  </si>
  <si>
    <t>9781466618374</t>
  </si>
  <si>
    <t>9781466618367</t>
  </si>
  <si>
    <t>Managing Dynamic Technology-Oriented Businesses: High-Tech Organizations and Workplaces</t>
  </si>
  <si>
    <t>Jemielniak, Dariusz</t>
  </si>
  <si>
    <t>621.381028/6</t>
  </si>
  <si>
    <t>TK5102.5.S925</t>
  </si>
  <si>
    <t>9781466618404</t>
  </si>
  <si>
    <t>9781466618398</t>
  </si>
  <si>
    <t>Sustainable ICTs and Management Systems for Green Computing</t>
  </si>
  <si>
    <t>Hu, Wen-Chen</t>
  </si>
  <si>
    <t>HM846.S58</t>
  </si>
  <si>
    <t>9781466615601</t>
  </si>
  <si>
    <t>9781466615595</t>
  </si>
  <si>
    <t>Social Influences on Information and Communication Technology Innovations</t>
  </si>
  <si>
    <t>T58.64.S94</t>
  </si>
  <si>
    <t>9781466615632</t>
  </si>
  <si>
    <t>9781466615625</t>
  </si>
  <si>
    <t>Systems Approach Applications for Developments in Information Technology</t>
  </si>
  <si>
    <t>Stowell, Frank</t>
  </si>
  <si>
    <t>QA76.76.I58T54</t>
  </si>
  <si>
    <t>9781466615663</t>
  </si>
  <si>
    <t>9781466615656</t>
  </si>
  <si>
    <t>Theoretical and Practical Frameworks for Agent-Based Systems</t>
  </si>
  <si>
    <t>Zhang, Yu</t>
  </si>
  <si>
    <t>658/.05</t>
  </si>
  <si>
    <t>TK5103.2.I516</t>
  </si>
  <si>
    <t>9781466615694</t>
  </si>
  <si>
    <t>9781466615687</t>
  </si>
  <si>
    <t>Innovative Mobile Platform Developments for Electronic Services Design and Delivery</t>
  </si>
  <si>
    <t>T58.6.I5779</t>
  </si>
  <si>
    <t>9781466615786</t>
  </si>
  <si>
    <t>9781466615779</t>
  </si>
  <si>
    <t>Intelligent and Knowledge-Based Computing for Business and Organizational Advancements</t>
  </si>
  <si>
    <t>Sasaki, Hideyasu</t>
  </si>
  <si>
    <t>TK5105.59.S43924</t>
  </si>
  <si>
    <t>9781466615816</t>
  </si>
  <si>
    <t>9781466615809</t>
  </si>
  <si>
    <t>Security-Aware Systems Applications and Software Development Methods</t>
  </si>
  <si>
    <t>Khan, Khaled M.</t>
  </si>
  <si>
    <t>HD9980.5.T43</t>
  </si>
  <si>
    <t>9781466615847</t>
  </si>
  <si>
    <t>9781466615830</t>
  </si>
  <si>
    <t>Technological Applications and Advancements in Service Science, Management, and Engineering</t>
  </si>
  <si>
    <t>Sicilia, Miguel-Angel</t>
  </si>
  <si>
    <t>338.9/27</t>
  </si>
  <si>
    <t>HC79.E5.S86494</t>
  </si>
  <si>
    <t>9781466615878</t>
  </si>
  <si>
    <t>9781466615861</t>
  </si>
  <si>
    <t>Sustainable Policy Applications for Social Ecology and Development</t>
  </si>
  <si>
    <t>Carayannis, Elias G.</t>
  </si>
  <si>
    <t>658.4/0301</t>
  </si>
  <si>
    <t>HD30.23.D38267</t>
  </si>
  <si>
    <t>9781466615908</t>
  </si>
  <si>
    <t>9781466615892</t>
  </si>
  <si>
    <t>Decision Making Theories and Practices from Analysis to Strategy</t>
  </si>
  <si>
    <t>Q337.3.I56</t>
  </si>
  <si>
    <t>9781466615939</t>
  </si>
  <si>
    <t>9781466615922</t>
  </si>
  <si>
    <t>Innovations and Developments of Swarm Intelligence Applications</t>
  </si>
  <si>
    <t>Shi, Yuhui</t>
  </si>
  <si>
    <t>612.8/232</t>
  </si>
  <si>
    <t>QP401.C68</t>
  </si>
  <si>
    <t>9781466615960</t>
  </si>
  <si>
    <t>9781466615953</t>
  </si>
  <si>
    <t>Creating Synthetic Emotions through Technological and Robotic Advancements</t>
  </si>
  <si>
    <t>Vallverdú, Jordi</t>
  </si>
  <si>
    <t>HF5415.1265.E22</t>
  </si>
  <si>
    <t>9781466615991</t>
  </si>
  <si>
    <t>9781466615984</t>
  </si>
  <si>
    <t>E-Marketing: Concepts, Methodologies, Tools and Applications</t>
  </si>
  <si>
    <t>Information Resources Manageme</t>
  </si>
  <si>
    <t>006.7/8</t>
  </si>
  <si>
    <t>HF5549.H8728</t>
  </si>
  <si>
    <t>9781466616028</t>
  </si>
  <si>
    <t>9781466616011</t>
  </si>
  <si>
    <t>Human Resources Management: Concepts, Methodologies, Tools and Applications</t>
  </si>
  <si>
    <t>658.5/14</t>
  </si>
  <si>
    <t>HD9980.5.K374</t>
  </si>
  <si>
    <t>9781466616059</t>
  </si>
  <si>
    <t>9781466616042</t>
  </si>
  <si>
    <t>Services Customization Using Web Technologies</t>
  </si>
  <si>
    <t>Kardaras, Dimitrios</t>
  </si>
  <si>
    <t>541/.2</t>
  </si>
  <si>
    <t>QD181.C1N36</t>
  </si>
  <si>
    <t>9781466616080</t>
  </si>
  <si>
    <t>9781466616073</t>
  </si>
  <si>
    <t>Nanoscience and Advancing Computational Methods in Chemistry: Research Progress</t>
  </si>
  <si>
    <t>TK5105.386.S738</t>
  </si>
  <si>
    <t>9781466616141</t>
  </si>
  <si>
    <t>9781466616134</t>
  </si>
  <si>
    <t>Streaming Media with Peer-to-Peer Networks: Wireless Perspectives</t>
  </si>
  <si>
    <t>Fleury, Martin</t>
  </si>
  <si>
    <t>621.3841/92</t>
  </si>
  <si>
    <t>TK6570.I34C45</t>
  </si>
  <si>
    <t>9781466616172</t>
  </si>
  <si>
    <t>9781466616165</t>
  </si>
  <si>
    <t>Chipless and Conventional Radio Frequency Identification: Systems for Ubiquitous Tagging</t>
  </si>
  <si>
    <t>Karmakar, Nemai Chandra</t>
  </si>
  <si>
    <t>HF5548.32.S766</t>
  </si>
  <si>
    <t>9781466616202</t>
  </si>
  <si>
    <t>9781466616196</t>
  </si>
  <si>
    <t>Strategic and Pragmatic E-Business: Implications for Future Business Practices</t>
  </si>
  <si>
    <t>Rezaul, Karim Mohammed</t>
  </si>
  <si>
    <t>384.3/2</t>
  </si>
  <si>
    <t>T58.5.C667</t>
  </si>
  <si>
    <t>9781466616233</t>
  </si>
  <si>
    <t>9781466616226</t>
  </si>
  <si>
    <t>Perspectives and Implications for the Development of Information Infrastructures</t>
  </si>
  <si>
    <t>Constantinides, Panos</t>
  </si>
  <si>
    <t>333.79/4</t>
  </si>
  <si>
    <t>TJ808.G57</t>
  </si>
  <si>
    <t>9781466616264</t>
  </si>
  <si>
    <t>9781466616257</t>
  </si>
  <si>
    <t>Global Sustainable Development and Renewable Energy Systems</t>
  </si>
  <si>
    <t>Olla, Phillip</t>
  </si>
  <si>
    <t>005.4/3</t>
  </si>
  <si>
    <t>QA76.9.U83C58</t>
  </si>
  <si>
    <t>9781466616295</t>
  </si>
  <si>
    <t>9781466616288</t>
  </si>
  <si>
    <t>Cognitively Informed Intelligent Interfaces: Systems Design and Development</t>
  </si>
  <si>
    <t>Alkhalifa, Eshaa M.</t>
  </si>
  <si>
    <t>004.6782</t>
  </si>
  <si>
    <t>QA76.585.A25</t>
  </si>
  <si>
    <t>9781466616325</t>
  </si>
  <si>
    <t>9781466616318</t>
  </si>
  <si>
    <t>Achieving Federated and Self-Manageable Cloud Infrastructures: Theory and Practice</t>
  </si>
  <si>
    <t>Villari, Massimo</t>
  </si>
  <si>
    <t>794.8/1</t>
  </si>
  <si>
    <t>GV1469.3.A37</t>
  </si>
  <si>
    <t>9781466616356</t>
  </si>
  <si>
    <t>9781466616349</t>
  </si>
  <si>
    <t>Algorithmic and Architectural Gaming Design: Implementation and Development</t>
  </si>
  <si>
    <t>Kumar, Ashok</t>
  </si>
  <si>
    <t>HC59.72.T4L38</t>
  </si>
  <si>
    <t>9781466616387</t>
  </si>
  <si>
    <t>9781466616370</t>
  </si>
  <si>
    <t>Leveraging Developing Economies with the Use of Information Technology: Trends and Tools</t>
  </si>
  <si>
    <t>Usoro, Abel</t>
  </si>
  <si>
    <t>624.1/762</t>
  </si>
  <si>
    <t>TA654.6.S8673</t>
  </si>
  <si>
    <t>9781466616417</t>
  </si>
  <si>
    <t>9781466616400</t>
  </si>
  <si>
    <t>Structural Seismic Design Optimization and Earthquake Engineering: Formulations and Applications</t>
  </si>
  <si>
    <t>Plevris, Vagelis</t>
  </si>
  <si>
    <t>625.10028/9</t>
  </si>
  <si>
    <t>TF610.R37</t>
  </si>
  <si>
    <t>9781466616448</t>
  </si>
  <si>
    <t>9781466616431</t>
  </si>
  <si>
    <t>Railway Safety, Reliability and Security: Technologies and Systems Engineering</t>
  </si>
  <si>
    <t>Flammini, Francesco</t>
  </si>
  <si>
    <t>338.4/76</t>
  </si>
  <si>
    <t>HD62.37C66</t>
  </si>
  <si>
    <t>9781466616479</t>
  </si>
  <si>
    <t>9781466616462</t>
  </si>
  <si>
    <t>Comparing High Technology Firms in Developed and Developing Countries: Cluster Growth Initiatives</t>
  </si>
  <si>
    <t>Bas, Tomas Gabriel</t>
  </si>
  <si>
    <t>QA76.9.A25T345</t>
  </si>
  <si>
    <t>9781466616509</t>
  </si>
  <si>
    <t>9781466616493</t>
  </si>
  <si>
    <t>Anonymous Security Systems and Applications: Requirements and Solutions</t>
  </si>
  <si>
    <t>Tamura, Shinsuke</t>
  </si>
  <si>
    <t>378.1734</t>
  </si>
  <si>
    <t>LB2341.C1695</t>
  </si>
  <si>
    <t>9781466616561</t>
  </si>
  <si>
    <t>9781466616554</t>
  </si>
  <si>
    <t>Cases on Technologies for Educational Leadership and Administration in Higher Education</t>
  </si>
  <si>
    <t>QA76.59.H34</t>
  </si>
  <si>
    <t>9781615206568</t>
  </si>
  <si>
    <t>9781615206551</t>
  </si>
  <si>
    <t>Handbook of Research on Mobile Software Engineering: Design, Implementation and Emergent Applications</t>
  </si>
  <si>
    <t>Alencar, Paulo</t>
  </si>
  <si>
    <t>004/.36</t>
  </si>
  <si>
    <t>QA76.9.C58G69</t>
  </si>
  <si>
    <t>9781466608801</t>
  </si>
  <si>
    <t>9781466608795</t>
  </si>
  <si>
    <t>Grid and Cloud Computing: Concepts, Methodologies, Tools and Applications</t>
  </si>
  <si>
    <t>338.9009172/4</t>
  </si>
  <si>
    <t>HC59.72.I55R44</t>
  </si>
  <si>
    <t>9781466608832</t>
  </si>
  <si>
    <t>9781466608825</t>
  </si>
  <si>
    <t>Regional Development: Concepts, Methodologies, Tools and Applications</t>
  </si>
  <si>
    <t>HF6146.I58H36</t>
  </si>
  <si>
    <t>9781466608863</t>
  </si>
  <si>
    <t>9781466608856</t>
  </si>
  <si>
    <t>Online Advertising and Promotion: Modern Technologies for Marketing</t>
  </si>
  <si>
    <t>Hanafizadeh, Payam</t>
  </si>
  <si>
    <t>HM851.H855</t>
  </si>
  <si>
    <t>9781466608924</t>
  </si>
  <si>
    <t>9781466608917</t>
  </si>
  <si>
    <t>Human Rights and Risks in the Digital Era: Globalization and the Effects of Information Technologies</t>
  </si>
  <si>
    <t>Akrivopoulou, Christina M.</t>
  </si>
  <si>
    <t>025.04/27</t>
  </si>
  <si>
    <t>TK5105.88815.C64</t>
  </si>
  <si>
    <t>9781466608955</t>
  </si>
  <si>
    <t>9781466608948</t>
  </si>
  <si>
    <t>Collaboration and the Semantic Web: Social Networks, Knowledge Networks and Knowledge Resources</t>
  </si>
  <si>
    <t>Brüggemann, Stefan</t>
  </si>
  <si>
    <t>QA76.76.R47S64586</t>
  </si>
  <si>
    <t>9781466608986</t>
  </si>
  <si>
    <t>9781466608979</t>
  </si>
  <si>
    <t>Software Reuse in the Emerging Cloud Computing Era</t>
  </si>
  <si>
    <t>Yang, Hongji</t>
  </si>
  <si>
    <t>025.04/2</t>
  </si>
  <si>
    <t>ZA4080.M85</t>
  </si>
  <si>
    <t>9781466609013</t>
  </si>
  <si>
    <t>9781466609006</t>
  </si>
  <si>
    <t>Multimedia Storage and Retrieval Innovations for Digital Library Systems</t>
  </si>
  <si>
    <t>HM851.C874</t>
  </si>
  <si>
    <t>9781466609044</t>
  </si>
  <si>
    <t>9781466609037</t>
  </si>
  <si>
    <t>Current Trends and Future Practices for Digital Literacy and Competence</t>
  </si>
  <si>
    <t>Cartelli, Antonio</t>
  </si>
  <si>
    <t>QA76.9.D5T43</t>
  </si>
  <si>
    <t>9781466609075</t>
  </si>
  <si>
    <t>9781466609068</t>
  </si>
  <si>
    <t>Technology Integration Advancements in Distributed Systems and Computing</t>
  </si>
  <si>
    <t>Bessis, Nik</t>
  </si>
  <si>
    <t>R119.9.E44</t>
  </si>
  <si>
    <t>9781466609105</t>
  </si>
  <si>
    <t>9781466609099</t>
  </si>
  <si>
    <t>Emerging Communication Technologies for E-Health and Medicine</t>
  </si>
  <si>
    <t>Rodrigues, Joel</t>
  </si>
  <si>
    <t>006.2/2</t>
  </si>
  <si>
    <t>TK7895.E42I532</t>
  </si>
  <si>
    <t>9781466609136</t>
  </si>
  <si>
    <t>9781466609129</t>
  </si>
  <si>
    <t>Innovations in Embedded and Real-Time Systems Engineering for Communication</t>
  </si>
  <si>
    <t>Virtanen, Seppo</t>
  </si>
  <si>
    <t>TA710.G445</t>
  </si>
  <si>
    <t>9781466609167</t>
  </si>
  <si>
    <t>9781466609150</t>
  </si>
  <si>
    <t>Geotechnical Applications for Earthquake Engineering: Research Advancements</t>
  </si>
  <si>
    <t>Sitharam, T.G.</t>
  </si>
  <si>
    <t>HD38.5.I52</t>
  </si>
  <si>
    <t>9781466609198</t>
  </si>
  <si>
    <t>9781466609181</t>
  </si>
  <si>
    <t>Information Technologies, Methods, and Techniques of Supply Chain Management</t>
  </si>
  <si>
    <t>004.16/7</t>
  </si>
  <si>
    <t>QA76.59.E467</t>
  </si>
  <si>
    <t>9781466609228</t>
  </si>
  <si>
    <t>9781466609211</t>
  </si>
  <si>
    <t>Emergent Trends in Personal, Mobile, and Handheld Computing Technologies</t>
  </si>
  <si>
    <t>QA76.9.C66S628</t>
  </si>
  <si>
    <t>9781466609280</t>
  </si>
  <si>
    <t>9781466609273</t>
  </si>
  <si>
    <t>Societal Impacts on Information Systems Development and Applications</t>
  </si>
  <si>
    <t>HD30.2.P758</t>
  </si>
  <si>
    <t>9781466609310</t>
  </si>
  <si>
    <t>9781466609303</t>
  </si>
  <si>
    <t>Project Management Techniques and Innovations in Information Technology</t>
  </si>
  <si>
    <t>TS155.I5362</t>
  </si>
  <si>
    <t>9781466609341</t>
  </si>
  <si>
    <t>9781466609334</t>
  </si>
  <si>
    <t>Innovations in Information Systems for Business Functionality and Operations Management</t>
  </si>
  <si>
    <t>LB1028.3.L379</t>
  </si>
  <si>
    <t>9781466609372</t>
  </si>
  <si>
    <t>9781466609365</t>
  </si>
  <si>
    <t>Learning with Mobile Technologies, Handheld Devices and Smart Phones: Innovative Methods</t>
  </si>
  <si>
    <t>Lu, Zhongyu (Joan)</t>
  </si>
  <si>
    <t>Q222.B56</t>
  </si>
  <si>
    <t>9781466609433</t>
  </si>
  <si>
    <t>9781466609426</t>
  </si>
  <si>
    <t>Biologically-Inspired Computing for the Arts: Scientific Data through Graphics</t>
  </si>
  <si>
    <t>Ursyn, Anna</t>
  </si>
  <si>
    <t>序號</t>
    <phoneticPr fontId="3" type="noConversion"/>
  </si>
  <si>
    <t>主題</t>
  </si>
  <si>
    <t>次主題</t>
  </si>
  <si>
    <t>電子書13碼ISBN</t>
  </si>
  <si>
    <t>題名</t>
  </si>
  <si>
    <t>出版年</t>
  </si>
  <si>
    <t>版次</t>
  </si>
  <si>
    <t>作者</t>
  </si>
  <si>
    <t>出版者</t>
  </si>
  <si>
    <t>平台</t>
  </si>
  <si>
    <t xml:space="preserve">Business and Management </t>
  </si>
  <si>
    <t>658.8'3091767</t>
  </si>
  <si>
    <t>HF5415.12.I74E44</t>
  </si>
  <si>
    <t>9781466662735</t>
  </si>
  <si>
    <t>9781466662728</t>
  </si>
  <si>
    <t>Emerging Research on Islamic Marketing and Tourism in the Global Economy</t>
  </si>
  <si>
    <t>El-Gohary, Hatem</t>
  </si>
  <si>
    <t>InfoSci-Books</t>
  </si>
  <si>
    <t>Business and Management</t>
  </si>
  <si>
    <t>658.4'038011</t>
  </si>
  <si>
    <t>HD30.2.S95175</t>
  </si>
  <si>
    <t>9781466645196</t>
  </si>
  <si>
    <t>9781466645189</t>
  </si>
  <si>
    <t>A Systemic Perspective to Managing Complexity with Enterprise Architecture</t>
  </si>
  <si>
    <t>Saha, Pallab</t>
  </si>
  <si>
    <t>Education</t>
  </si>
  <si>
    <t>LB2395.7.A28</t>
  </si>
  <si>
    <t>9781466647985</t>
  </si>
  <si>
    <t>9781466647978</t>
  </si>
  <si>
    <t>Academic Knowledge Construction and Multimodal Curriculum Development</t>
  </si>
  <si>
    <t>Loveless, Douglas J.</t>
  </si>
  <si>
    <t>Public Policy and Administration</t>
  </si>
  <si>
    <t>384.5 22</t>
  </si>
  <si>
    <t>HV551.2 .A33 2010</t>
  </si>
  <si>
    <t>9781615209880</t>
  </si>
  <si>
    <t>9781615209873</t>
  </si>
  <si>
    <t>Advanced ICTs for Disaster Management and Threat Detection: Collaborative and Distributed Frameworks</t>
  </si>
  <si>
    <t>Asimakopoulou, Eleana</t>
  </si>
  <si>
    <t>Environmental Science and Technologies</t>
  </si>
  <si>
    <t>681'.2</t>
  </si>
  <si>
    <t>TA165.A5584</t>
  </si>
  <si>
    <t>9781466641662</t>
  </si>
  <si>
    <t>9781466641655</t>
  </si>
  <si>
    <t>Advanced Instrument Engineering: Measurement, Calibration, and Design</t>
  </si>
  <si>
    <t>Lay-Ekuakille, Aimé</t>
  </si>
  <si>
    <t>Social Science</t>
  </si>
  <si>
    <t>HM741.A344</t>
  </si>
  <si>
    <t>9781466644915</t>
  </si>
  <si>
    <t>9781466644908</t>
  </si>
  <si>
    <t>Advanced Research and Trends in New Technologies, Software, Human-Computer Interaction, and Communicability</t>
  </si>
  <si>
    <t>Cipolla-Ficarra, Francisco Vic</t>
  </si>
  <si>
    <t>Computer Science and Information Technology</t>
  </si>
  <si>
    <t>620.001'1</t>
  </si>
  <si>
    <t>TA177.A37</t>
  </si>
  <si>
    <t>9781466644953</t>
  </si>
  <si>
    <t>9781466644946</t>
  </si>
  <si>
    <t>Advances and Applications in Model-Driven Engineering</t>
  </si>
  <si>
    <t>Díaz, Vicente García</t>
  </si>
  <si>
    <t>QA76.9.S63A386</t>
  </si>
  <si>
    <t>9781466626829</t>
  </si>
  <si>
    <t>9781466626515</t>
  </si>
  <si>
    <t>Advances in Abstract Intelligence and Soft Computing</t>
  </si>
  <si>
    <t>Security and Forensics</t>
  </si>
  <si>
    <t>TK5105.59.A3834</t>
  </si>
  <si>
    <t>9781466649415</t>
  </si>
  <si>
    <t>9781466649408</t>
  </si>
  <si>
    <t>Advances in Secure Computing, Internet Services, and Applications</t>
  </si>
  <si>
    <t>Tripathy, B.K.</t>
  </si>
  <si>
    <t>006.2'2</t>
  </si>
  <si>
    <t>TK7895.E42A383</t>
  </si>
  <si>
    <t>9781466660359</t>
  </si>
  <si>
    <t>9781466660342</t>
  </si>
  <si>
    <t>Advancing Embedded Systems and Real-Time Communications with Emerging Technologies</t>
  </si>
  <si>
    <t>020.71'1</t>
  </si>
  <si>
    <t>Z668.A27</t>
  </si>
  <si>
    <t>9781466636897</t>
  </si>
  <si>
    <t>9781466636880</t>
  </si>
  <si>
    <t>Advancing Library Education: Technological Innovation and Instructional Design</t>
  </si>
  <si>
    <t>Sigal, Ari</t>
  </si>
  <si>
    <t>Medicine, Healthcare, and Life Sciences</t>
  </si>
  <si>
    <t>R855.3.A388</t>
  </si>
  <si>
    <t>9781466646209</t>
  </si>
  <si>
    <t>9781466646193</t>
  </si>
  <si>
    <t>Advancing Medical Practice through Technology: Applications for Healthcare Delivery, Management, and Quality</t>
  </si>
  <si>
    <t>Rodrigues, Joel J.P.C.</t>
  </si>
  <si>
    <t>371.309172'4</t>
  </si>
  <si>
    <t>LB1028.5.A28</t>
  </si>
  <si>
    <t>9781466645752</t>
  </si>
  <si>
    <t>9781466645745</t>
  </si>
  <si>
    <t>Advancing Technology and Educational Development through Blended Learning in Emerging Economies</t>
  </si>
  <si>
    <t>Ololube, Nwachukwu Prince</t>
  </si>
  <si>
    <t>658.4'012</t>
  </si>
  <si>
    <t>HD30.23.A466</t>
  </si>
  <si>
    <t>9781466659599</t>
  </si>
  <si>
    <t>9781466659582</t>
  </si>
  <si>
    <t>Analytical Approaches to Strategic Decision-Making: Interdisciplinary Considerations</t>
  </si>
  <si>
    <t>371.35'8</t>
  </si>
  <si>
    <t>LC5800.A77</t>
  </si>
  <si>
    <t>9781466646520</t>
  </si>
  <si>
    <t>9781466646513</t>
  </si>
  <si>
    <t>Assessment and Evaluation of Time Factors in Online Teaching and Learning</t>
  </si>
  <si>
    <t>Barbera, Elena</t>
  </si>
  <si>
    <t>Library and Information Science</t>
  </si>
  <si>
    <t>QA76.9.D32B49</t>
  </si>
  <si>
    <t>9781466647008</t>
  </si>
  <si>
    <t>9781466646995</t>
  </si>
  <si>
    <t>Big Data Management, Technologies, and Applications</t>
  </si>
  <si>
    <t xml:space="preserve">Library and Information Science </t>
  </si>
  <si>
    <t>006.3'82</t>
  </si>
  <si>
    <t>QA76.9.D343B56</t>
  </si>
  <si>
    <t>9781466660793</t>
  </si>
  <si>
    <t>9781466660786</t>
  </si>
  <si>
    <t>Biologically-Inspired Techniques for Knowledge Discovery and Data Mining</t>
  </si>
  <si>
    <t>Alam, Shafiq</t>
  </si>
  <si>
    <t>Media and Communications</t>
  </si>
  <si>
    <t>621.3845'6</t>
  </si>
  <si>
    <t>TK5103.2.B.738</t>
  </si>
  <si>
    <t>9781466648890</t>
  </si>
  <si>
    <t>9781466648883</t>
  </si>
  <si>
    <t>Broadband Wireless Access Networks for 4G: Theory, Application, and Experimentation</t>
  </si>
  <si>
    <t>418.0078</t>
  </si>
  <si>
    <t>P53.855.C35</t>
  </si>
  <si>
    <t>9781466644830</t>
  </si>
  <si>
    <t>9781466644823</t>
  </si>
  <si>
    <t>Cases on Communication Technology for Second Language Acquisition and Cultural Learning</t>
  </si>
  <si>
    <t>Aitken, Joan E.</t>
  </si>
  <si>
    <t>658.8'343</t>
  </si>
  <si>
    <t>HF5415.13.C335</t>
  </si>
  <si>
    <t>9781466643581</t>
  </si>
  <si>
    <t>9781466643574</t>
  </si>
  <si>
    <t>Cases on Consumer-Centric Marketing Management</t>
  </si>
  <si>
    <t>Jham, Vimi</t>
  </si>
  <si>
    <t>HF5548.32.C3657</t>
  </si>
  <si>
    <t>9781605660653</t>
  </si>
  <si>
    <t>9781605660646</t>
  </si>
  <si>
    <t>Cases on Managing E-Services</t>
  </si>
  <si>
    <t>LC5800.C38</t>
  </si>
  <si>
    <t>9781466644878</t>
  </si>
  <si>
    <t>9781466644861</t>
  </si>
  <si>
    <t>Cases on Professional Distance Education Degree Programs and Practices: Successes, Challenges, and Issues</t>
  </si>
  <si>
    <t>Sullivan, Kirk P.H.</t>
  </si>
  <si>
    <t>352.3'802854678</t>
  </si>
  <si>
    <t>JF1525.A8C367</t>
  </si>
  <si>
    <t>9781466609822</t>
  </si>
  <si>
    <t>9781466609815</t>
  </si>
  <si>
    <t>Cases on Public Information Management and E-Government Adoption</t>
  </si>
  <si>
    <t>Reddick, Christopher G.</t>
  </si>
  <si>
    <t>351.0285'4678</t>
  </si>
  <si>
    <t>JF1525.A8C56</t>
  </si>
  <si>
    <t>9781466641709</t>
  </si>
  <si>
    <t>9781466641693</t>
  </si>
  <si>
    <t>Citizen E-Participation in Urban Governance: Crowdsourcing and Collaborative Creativity</t>
  </si>
  <si>
    <t>610.285 22</t>
  </si>
  <si>
    <t>R859.7.D36 C55 2010</t>
  </si>
  <si>
    <t>9781615209064</t>
  </si>
  <si>
    <t>9781615209057</t>
  </si>
  <si>
    <t>Clinical Data Mining for Physician Decision Making and Investigating Health Outcomes: Methods for Prediction and Analysis</t>
  </si>
  <si>
    <t>Cerrito, Patricia</t>
  </si>
  <si>
    <t>616</t>
  </si>
  <si>
    <t>RC48.C56</t>
  </si>
  <si>
    <t>9781466618770</t>
  </si>
  <si>
    <t>9781466618763</t>
  </si>
  <si>
    <t>Clinical Solutions and Medical Progress through User-Driven Healthcare</t>
  </si>
  <si>
    <t>Biswas, Rakesh</t>
  </si>
  <si>
    <t>Z674.75.W67C586</t>
  </si>
  <si>
    <t>9781466646322</t>
  </si>
  <si>
    <t>9781466646315</t>
  </si>
  <si>
    <t>Cloud Computing and Virtualization Technologies in Libraries</t>
  </si>
  <si>
    <t>Dhamdhere, Sangeeta N.</t>
  </si>
  <si>
    <t xml:space="preserve">Medicine, Healthcare, and Life Sciences </t>
  </si>
  <si>
    <t>R858</t>
  </si>
  <si>
    <t>9781466661196</t>
  </si>
  <si>
    <t>9781466661189</t>
  </si>
  <si>
    <t>Cloud Computing Applications for Quality Health Care Delivery</t>
  </si>
  <si>
    <t>Moumtzoglou, Anastasius</t>
  </si>
  <si>
    <t>004.67'82</t>
  </si>
  <si>
    <t>QA76.585.H363</t>
  </si>
  <si>
    <t>9781466658653</t>
  </si>
  <si>
    <t>9781466658646</t>
  </si>
  <si>
    <t>Raj, Pethuru</t>
  </si>
  <si>
    <t>Information Science Publishing</t>
  </si>
  <si>
    <t>526.0914`6--dc22</t>
  </si>
  <si>
    <t>GC10.4.R4C63</t>
  </si>
  <si>
    <t>9781615208166</t>
  </si>
  <si>
    <t>9781615208159</t>
  </si>
  <si>
    <t>Coastal Informatics: Web Atlas Design and Implementation</t>
  </si>
  <si>
    <t>Wright, Dawn</t>
  </si>
  <si>
    <t>TK5103.4815.C59</t>
  </si>
  <si>
    <t>9781466642225</t>
  </si>
  <si>
    <t>9781466642218</t>
  </si>
  <si>
    <t>Cognitive Radio Technology Applications for Wireless and Mobile Ad Hoc Networks</t>
  </si>
  <si>
    <t>Meghanathan, Natarajan</t>
  </si>
  <si>
    <t>658.4'036</t>
  </si>
  <si>
    <t>HD30.2.C6248</t>
  </si>
  <si>
    <t>9781466644793</t>
  </si>
  <si>
    <t>9781466644786</t>
  </si>
  <si>
    <t>Collaborative Communication Processes and Decision Making in Organizations</t>
  </si>
  <si>
    <t>Nikoi, Ephraim</t>
  </si>
  <si>
    <t>QA76.585C66</t>
  </si>
  <si>
    <t>9781466645233</t>
  </si>
  <si>
    <t>9781466645226</t>
  </si>
  <si>
    <t>Communication Infrastructures for Cloud Computing</t>
  </si>
  <si>
    <t>Mouftah, Hussein T.</t>
  </si>
  <si>
    <t>006.3'7</t>
  </si>
  <si>
    <t>QA76.76.I58C648</t>
  </si>
  <si>
    <t>9781466660311</t>
  </si>
  <si>
    <t>9781466660304</t>
  </si>
  <si>
    <t>Computer Vision and Image Processing in Intelligent Systems and Multimedia Technologies</t>
  </si>
  <si>
    <t>Sarfraz, Muhammad</t>
  </si>
  <si>
    <t>HC79.C63C669</t>
  </si>
  <si>
    <t>9781466658813</t>
  </si>
  <si>
    <t>9781466658806</t>
  </si>
  <si>
    <t>Kaufmann, Hans-Ruediger</t>
  </si>
  <si>
    <t>610.7306'9</t>
  </si>
  <si>
    <t>RA418.5.T73C77</t>
  </si>
  <si>
    <t>9781466643260</t>
  </si>
  <si>
    <t>9781466643253</t>
  </si>
  <si>
    <t>Cross-Cultural Training and Teamwork in Healthcare</t>
  </si>
  <si>
    <t>Vasilache, Simona</t>
  </si>
  <si>
    <t>006.3'12</t>
  </si>
  <si>
    <t>QA76.9.D343.D372</t>
  </si>
  <si>
    <t>9781466660878</t>
  </si>
  <si>
    <t>9781466660861</t>
  </si>
  <si>
    <t>Data Mining and Analysis in the Engineering Field</t>
  </si>
  <si>
    <t>Bhatnagar, Vishal</t>
  </si>
  <si>
    <t>HM741.D384</t>
  </si>
  <si>
    <t>9781466642140</t>
  </si>
  <si>
    <t>9781466642133</t>
  </si>
  <si>
    <t>Data Mining in Dynamic Social Networks and Fuzzy Systems</t>
  </si>
  <si>
    <t>388.072</t>
  </si>
  <si>
    <t>HE147.6.D37</t>
  </si>
  <si>
    <t>9781466649217</t>
  </si>
  <si>
    <t>9781466649200</t>
  </si>
  <si>
    <t>Data Science and Simulation in Transportation Research</t>
  </si>
  <si>
    <t>Janssens, Davy</t>
  </si>
  <si>
    <t>302.3'5</t>
  </si>
  <si>
    <t>HD30.23P384</t>
  </si>
  <si>
    <t>9781466629684</t>
  </si>
  <si>
    <t>9781466629677</t>
  </si>
  <si>
    <t>Decision Control, Management, and Support in Adaptive and Complex Systems: Quantitative Models</t>
  </si>
  <si>
    <t>Pavlov, Yuri P.</t>
  </si>
  <si>
    <t>384.3'3</t>
  </si>
  <si>
    <t>TK5105.88813.H345</t>
  </si>
  <si>
    <t>9781466658851</t>
  </si>
  <si>
    <t>9781466658844</t>
  </si>
  <si>
    <t>Sun, Zhaohao</t>
  </si>
  <si>
    <t>658.4'013</t>
  </si>
  <si>
    <t>TS155.D4757</t>
  </si>
  <si>
    <t>9781466650404</t>
  </si>
  <si>
    <t>9781466650398</t>
  </si>
  <si>
    <t>Modrák, Vladimír</t>
  </si>
  <si>
    <t>624</t>
  </si>
  <si>
    <t>TA654.9.D47</t>
  </si>
  <si>
    <t>9781466620308</t>
  </si>
  <si>
    <t>9781466620292</t>
  </si>
  <si>
    <t>Design Optimization of Active and Passive Structural Control Systems</t>
  </si>
  <si>
    <t>Lagaros, Nikos D</t>
  </si>
  <si>
    <t>HD30.28.D4797</t>
  </si>
  <si>
    <t>9781466648616</t>
  </si>
  <si>
    <t>9781466648609</t>
  </si>
  <si>
    <t>Developing Business Strategies and Identifying Risk Factors in Modern Organizations</t>
  </si>
  <si>
    <t>302.23'1</t>
  </si>
  <si>
    <t>P96.T42D536</t>
  </si>
  <si>
    <t>9781466649170</t>
  </si>
  <si>
    <t>9781466649163</t>
  </si>
  <si>
    <t>Digital Rhetoric and Global Literacies: Communication Modes and Digital Practices in the Networked World</t>
  </si>
  <si>
    <t>Verhulsdonck, Gustav</t>
  </si>
  <si>
    <t>617'.033</t>
  </si>
  <si>
    <t>HV1569.5</t>
  </si>
  <si>
    <t>9781466644434</t>
  </si>
  <si>
    <t>9781466644427</t>
  </si>
  <si>
    <t>Disability Informatics and Web Accessibility for Motor Limitations</t>
  </si>
  <si>
    <t>Kouroupetroglou, Georgios</t>
  </si>
  <si>
    <t>658.4'092</t>
  </si>
  <si>
    <t>HD57.7.S653</t>
  </si>
  <si>
    <t>9781466628373</t>
  </si>
  <si>
    <t>9781466628366</t>
  </si>
  <si>
    <t>Dynamic Leadership Models for Global Business: Enhancing Digitally Connected Environments</t>
  </si>
  <si>
    <t>Smith, Peter A. C.</t>
  </si>
  <si>
    <t>381'.142</t>
  </si>
  <si>
    <t>HF5414.D96</t>
  </si>
  <si>
    <t>9781466644311</t>
  </si>
  <si>
    <t>9781466644304</t>
  </si>
  <si>
    <t>Dynamics of Competitive Advantage and Consumer Perception in Social Marketing</t>
  </si>
  <si>
    <t>338.9001'5195</t>
  </si>
  <si>
    <t>HD82.E266</t>
  </si>
  <si>
    <t>9781466643307</t>
  </si>
  <si>
    <t>9781466643291</t>
  </si>
  <si>
    <t>Econometric Methods for Analyzing Economic Development</t>
  </si>
  <si>
    <t>Schaeffer, Peter V.</t>
  </si>
  <si>
    <t>330.01'51932</t>
  </si>
  <si>
    <t>HB144.E26</t>
  </si>
  <si>
    <t>9781466647466</t>
  </si>
  <si>
    <t>9781466647459</t>
  </si>
  <si>
    <t>Economic Behavior, Game Theory, and Technology in Emerging Markets</t>
  </si>
  <si>
    <t>330.98</t>
  </si>
  <si>
    <t>HC125.H334</t>
  </si>
  <si>
    <t>9781466662254</t>
  </si>
  <si>
    <t>9781466662247</t>
  </si>
  <si>
    <t>658.8</t>
  </si>
  <si>
    <t>HF5415H18672</t>
  </si>
  <si>
    <t>9781466662216</t>
  </si>
  <si>
    <t>9781466662209</t>
  </si>
  <si>
    <t>Q342.E36</t>
  </si>
  <si>
    <t>9781466639430</t>
  </si>
  <si>
    <t>9781466639423</t>
  </si>
  <si>
    <t>Efficiency and Scalability Methods for Computational Intellect</t>
  </si>
  <si>
    <t>Igelnik, Boris</t>
  </si>
  <si>
    <t>R858.E34</t>
  </si>
  <si>
    <t>9781466626881</t>
  </si>
  <si>
    <t>9781466626577</t>
  </si>
  <si>
    <t>E-Health Technologies and Improving Patient Safety: Exploring Organizational Factors</t>
  </si>
  <si>
    <t>338.94'07</t>
  </si>
  <si>
    <t>HC240.9.I55E436</t>
  </si>
  <si>
    <t>9781466645516</t>
  </si>
  <si>
    <t>9781466645509</t>
  </si>
  <si>
    <t>E-Innovation for Sustainable Development of Rural Resources During Global Economic Crisis</t>
  </si>
  <si>
    <t>Andreopoulou, Zacharoula</t>
  </si>
  <si>
    <t>Engineering</t>
  </si>
  <si>
    <t>621.31'4</t>
  </si>
  <si>
    <t>QC665.T7E34</t>
  </si>
  <si>
    <t>9781466619227</t>
  </si>
  <si>
    <t>9781466619210</t>
  </si>
  <si>
    <t>Electromagnetic Transients in Transformer and Rotating Machine Windings</t>
  </si>
  <si>
    <t>Su, Charles Q.</t>
  </si>
  <si>
    <t>006.3'5</t>
  </si>
  <si>
    <t>QA76.9.N38E54</t>
  </si>
  <si>
    <t>9781466621701</t>
  </si>
  <si>
    <t>9781466621695</t>
  </si>
  <si>
    <t>Emerging Applications of Natural Language Processing: Concepts and New Research</t>
  </si>
  <si>
    <t>Bandyopadhyay, Sivaji</t>
  </si>
  <si>
    <t>G70.212.E43</t>
  </si>
  <si>
    <t>9781466619524</t>
  </si>
  <si>
    <t>9781466619517</t>
  </si>
  <si>
    <t>Emerging Methods and Multidisciplinary Applications in Geospatial Research</t>
  </si>
  <si>
    <t>Albert, Donald P.</t>
  </si>
  <si>
    <t>004.01'9</t>
  </si>
  <si>
    <t>QA76.9.H85E479</t>
  </si>
  <si>
    <t>9781466646247</t>
  </si>
  <si>
    <t>9781466646230</t>
  </si>
  <si>
    <t>Emerging Research and Trends in Interactivity and the Human-Computer Interface</t>
  </si>
  <si>
    <t>Blashki, Katherine</t>
  </si>
  <si>
    <t>QA76.585.S54</t>
  </si>
  <si>
    <t>9781466648029</t>
  </si>
  <si>
    <t>9781466648012</t>
  </si>
  <si>
    <t>Enabling the New Era of Cloud Computing: Data Security, Transfer, and Management</t>
  </si>
  <si>
    <t>Shen, Yushi</t>
  </si>
  <si>
    <t>629.8'92</t>
  </si>
  <si>
    <t>TJ211.E56</t>
  </si>
  <si>
    <t>9781466642263</t>
  </si>
  <si>
    <t>9781466642256</t>
  </si>
  <si>
    <t>Engineering Creative Design in Robotics and Mechatronics</t>
  </si>
  <si>
    <t>Habib, Maki K.</t>
  </si>
  <si>
    <t>HD30.213.E54</t>
  </si>
  <si>
    <t>9781466640030</t>
  </si>
  <si>
    <t>9781466640023</t>
  </si>
  <si>
    <t>Engineering Effective Decision Support Technologies: New Models and Applications</t>
  </si>
  <si>
    <t>Power, Daniel J.</t>
  </si>
  <si>
    <t>TK5105.888.E926</t>
  </si>
  <si>
    <t>9781466651302</t>
  </si>
  <si>
    <t>9781466651296</t>
  </si>
  <si>
    <t>Evaluating Websites and Web Services: Interdisciplinary Perspectives on User Satisfaction</t>
  </si>
  <si>
    <t>Yannacopoulos, Denis</t>
  </si>
  <si>
    <t>621.3845'60218</t>
  </si>
  <si>
    <t>TK5103.2.S464</t>
  </si>
  <si>
    <t>9781466640757</t>
  </si>
  <si>
    <t>9781466640740</t>
  </si>
  <si>
    <t>Evolution and Standardization of Mobile Communications Technology</t>
  </si>
  <si>
    <t>Seo, DongBack</t>
  </si>
  <si>
    <t>621.382'15</t>
  </si>
  <si>
    <t>TK5103.4815.E96</t>
  </si>
  <si>
    <t>9781466641907</t>
  </si>
  <si>
    <t>9781466641891</t>
  </si>
  <si>
    <t>Evolution of Cognitive Networks and Self-Adaptive Communication Systems</t>
  </si>
  <si>
    <t>Lagkas, Thomas D.</t>
  </si>
  <si>
    <t>QA76.9.S63E95</t>
  </si>
  <si>
    <t>9781466647862</t>
  </si>
  <si>
    <t>9781466647855</t>
  </si>
  <si>
    <t>Exploring Innovative and Successful Applications of Soft Computing</t>
  </si>
  <si>
    <t>Masegosa, Antonio D.</t>
  </si>
  <si>
    <t>808'.04207</t>
  </si>
  <si>
    <t>PE1404.E97</t>
  </si>
  <si>
    <t>9781466643420</t>
  </si>
  <si>
    <t>9781466643413</t>
  </si>
  <si>
    <t>Exploring Technology for Writing and Writing Instruction</t>
  </si>
  <si>
    <t>Pytash, Kristine E.</t>
  </si>
  <si>
    <t>QA76.9.C65F66</t>
  </si>
  <si>
    <t>9781466643703</t>
  </si>
  <si>
    <t>9781466643697</t>
  </si>
  <si>
    <t>Formal Languages for Computer Simulation: Transdisciplinary Models and Applications</t>
  </si>
  <si>
    <t>Casas, Pau Fonseca i</t>
  </si>
  <si>
    <t xml:space="preserve">Social Science </t>
  </si>
  <si>
    <t>331.4'81302231</t>
  </si>
  <si>
    <t>HD6054.G45</t>
  </si>
  <si>
    <t>9781466661431</t>
  </si>
  <si>
    <t>9781466661424</t>
  </si>
  <si>
    <t>Gender Considerations and Influence in the Digital Media and Gaming Industry</t>
  </si>
  <si>
    <t>Prescott, Julie</t>
  </si>
  <si>
    <t>331.4'87948</t>
  </si>
  <si>
    <t>HD9993.E452P74</t>
  </si>
  <si>
    <t>9781466645356</t>
  </si>
  <si>
    <t>9781466645349</t>
  </si>
  <si>
    <t>Gender Divide and the Computer Game Industry</t>
  </si>
  <si>
    <t>331.4'85</t>
  </si>
  <si>
    <t>Q130.P74</t>
  </si>
  <si>
    <t>9781466621084</t>
  </si>
  <si>
    <t>9781466621077</t>
  </si>
  <si>
    <t>Gendered Occupational Differences in Science, Engineering, and Technology Careers</t>
  </si>
  <si>
    <t>332.1068'4</t>
  </si>
  <si>
    <t>HG3881.G5763</t>
  </si>
  <si>
    <t>9781466646360</t>
  </si>
  <si>
    <t>9781466646353</t>
  </si>
  <si>
    <t>Global Strategies in Banking and Finance</t>
  </si>
  <si>
    <t>Din?er, Hasan</t>
  </si>
  <si>
    <t>TA345.G56</t>
  </si>
  <si>
    <t>9781466649378</t>
  </si>
  <si>
    <t>9781466649361</t>
  </si>
  <si>
    <t>Global Trends in Intelligent Computing Research and Development</t>
  </si>
  <si>
    <t>352.3'4</t>
  </si>
  <si>
    <t>H97.G698</t>
  </si>
  <si>
    <t>9781466651470</t>
  </si>
  <si>
    <t>9781466651463</t>
  </si>
  <si>
    <t>Governometrics and Technological Innovation for Public Policy Design and Precision</t>
  </si>
  <si>
    <t>Sharma, Sangeeta</t>
  </si>
  <si>
    <t>621.382</t>
  </si>
  <si>
    <t>TK5103.2.H3369</t>
  </si>
  <si>
    <t>9781466651715</t>
  </si>
  <si>
    <t>9781466651708</t>
  </si>
  <si>
    <t>Handbook of Research on Progressive Trends in Wireless Communications and Networking</t>
  </si>
  <si>
    <t>Matin, M.A.</t>
  </si>
  <si>
    <t>HM742.H86</t>
  </si>
  <si>
    <t>9781613504666</t>
  </si>
  <si>
    <t>9781613504659</t>
  </si>
  <si>
    <t>Human Interaction with Technology for Working, Communicating, and Learning: Advancements</t>
  </si>
  <si>
    <t>Mesquita, Anabela</t>
  </si>
  <si>
    <t>323.44</t>
  </si>
  <si>
    <t>JC571.H768827</t>
  </si>
  <si>
    <t>9781466619197</t>
  </si>
  <si>
    <t>9781466619180</t>
  </si>
  <si>
    <t>Human Rights and Information Communication Technologies: Trends and Consequences of Use</t>
  </si>
  <si>
    <t>Lannon, John</t>
  </si>
  <si>
    <t>303.48'33</t>
  </si>
  <si>
    <t>HM851.H8553</t>
  </si>
  <si>
    <t>9781466662490</t>
  </si>
  <si>
    <t>9781466662483</t>
  </si>
  <si>
    <t>Human Rights and the Impact of ICT in the Public Sphere: Participation, Democracy, and Political Autonomy</t>
  </si>
  <si>
    <t>624.068'4</t>
  </si>
  <si>
    <t>HD9715.A2H818</t>
  </si>
  <si>
    <t>9781466641860</t>
  </si>
  <si>
    <t>9781466641853</t>
  </si>
  <si>
    <t>Implementing IT Business Strategy in the Construction Industry</t>
  </si>
  <si>
    <t>Hua, Goh Bee</t>
  </si>
  <si>
    <t>TK7895.E42H294</t>
  </si>
  <si>
    <t>9781466661950</t>
  </si>
  <si>
    <t>9781466661943</t>
  </si>
  <si>
    <t>Bagnato, Alessandra</t>
  </si>
  <si>
    <t>658.4/03</t>
  </si>
  <si>
    <t>T58.6.I4865</t>
  </si>
  <si>
    <t>9781605660417</t>
  </si>
  <si>
    <t>9781605660400</t>
  </si>
  <si>
    <t>Information Systems Research Methods, Epistemology, and Applications</t>
  </si>
  <si>
    <t>Cater-Steel, Aileen</t>
  </si>
  <si>
    <t>004.02'18</t>
  </si>
  <si>
    <t>T58.5.I56474</t>
  </si>
  <si>
    <t>9781466621619</t>
  </si>
  <si>
    <t>9781466621602</t>
  </si>
  <si>
    <t>Innovations in Organizational IT Specification and Standards Development</t>
  </si>
  <si>
    <t>Jakobs, Kai</t>
  </si>
  <si>
    <t>001.4'226</t>
  </si>
  <si>
    <t>QA76.9.I52I56</t>
  </si>
  <si>
    <t>9781466643109</t>
  </si>
  <si>
    <t>9781466643093</t>
  </si>
  <si>
    <t>Innovative Approaches of Data Visualization and Visual Analytics</t>
  </si>
  <si>
    <t>Huang, Mao Lin</t>
  </si>
  <si>
    <t>303.48/3</t>
  </si>
  <si>
    <t>HD9801.6.P762.I56</t>
  </si>
  <si>
    <t>9781599047973</t>
  </si>
  <si>
    <t>9781599047959</t>
  </si>
  <si>
    <t>Innovative Automatic Identification and Location-Based Services: From Bar Codes to Chip Implants</t>
  </si>
  <si>
    <t>Michael, Katina</t>
  </si>
  <si>
    <t>T58.62.I5695</t>
  </si>
  <si>
    <t>9781466625433</t>
  </si>
  <si>
    <t>9781466625426</t>
  </si>
  <si>
    <t>Intelligent Techniques in Recommendation Systems: Contextual Advancements and New Methods</t>
  </si>
  <si>
    <t>Dehuri, Satchidananda</t>
  </si>
  <si>
    <t>HD30.2.I556528</t>
  </si>
  <si>
    <t>9781466647541</t>
  </si>
  <si>
    <t>9781466647534</t>
  </si>
  <si>
    <t>International Business Strategy and Entrepreneurship: An Information Technology Perspective</t>
  </si>
  <si>
    <t>658.8'72</t>
  </si>
  <si>
    <t>HF5415.12.C5W785</t>
  </si>
  <si>
    <t>9781466645790</t>
  </si>
  <si>
    <t>9781466645783</t>
  </si>
  <si>
    <t>Internet Mercenaries and Viral Marketing: The Case of Chinese Social Media</t>
  </si>
  <si>
    <t>Wu, Mei</t>
  </si>
  <si>
    <t>658.4'038</t>
  </si>
  <si>
    <t>HD30.2.K63623</t>
  </si>
  <si>
    <t>9781466647121</t>
  </si>
  <si>
    <t>9781466647114</t>
  </si>
  <si>
    <t>Knowledge Discovery, Transfer, and Management in the Information Age</t>
  </si>
  <si>
    <t>338.4'73621</t>
  </si>
  <si>
    <t>RA410.9.M43L33</t>
  </si>
  <si>
    <t>9781466647244</t>
  </si>
  <si>
    <t>9781466647237</t>
  </si>
  <si>
    <t>Labor and Health Economics in the Mediterranean Region: Migration and Mobility of Medical Doctors</t>
  </si>
  <si>
    <t>Driouchi, Ahmed</t>
  </si>
  <si>
    <t>20.72095</t>
  </si>
  <si>
    <t>Z669.7.L474</t>
  </si>
  <si>
    <t>9781466651593</t>
  </si>
  <si>
    <t>9781466651586</t>
  </si>
  <si>
    <t>Library and Information Science Research in Asia-Oceania: Theory and Practice</t>
  </si>
  <si>
    <t>Du, Jia Tina</t>
  </si>
  <si>
    <t>025.2'1877</t>
  </si>
  <si>
    <t>Z675.U5L5185</t>
  </si>
  <si>
    <t>9781466618985</t>
  </si>
  <si>
    <t>9781466618978</t>
  </si>
  <si>
    <t>Library Collection Development for Professional Programs: Trends and Best Practices</t>
  </si>
  <si>
    <t>Holder, Sara</t>
  </si>
  <si>
    <t>025.5'2777</t>
  </si>
  <si>
    <t>Z675.U5C764</t>
  </si>
  <si>
    <t>9781466642423</t>
  </si>
  <si>
    <t>9781466642416</t>
  </si>
  <si>
    <t>Library Reference Services and Information Literacy: Models for Academic Institutions</t>
  </si>
  <si>
    <t>Cordell, Rosanne M</t>
  </si>
  <si>
    <t>HD9999.C9472H35</t>
  </si>
  <si>
    <t>9781466650084</t>
  </si>
  <si>
    <t>9781466650077</t>
  </si>
  <si>
    <t>Aiello, Lucia</t>
  </si>
  <si>
    <t>658.4'034</t>
  </si>
  <si>
    <t>HD30.213.M3456</t>
  </si>
  <si>
    <t>9781466645073</t>
  </si>
  <si>
    <t>9781466645066</t>
  </si>
  <si>
    <t>Management Science, Logistics, and Operations Research</t>
  </si>
  <si>
    <t>004.068/422</t>
  </si>
  <si>
    <t>HD69.S8.U54</t>
  </si>
  <si>
    <t>9781605667973</t>
  </si>
  <si>
    <t>9781605667966</t>
  </si>
  <si>
    <t>Managing IT Outsourcing Performance</t>
  </si>
  <si>
    <t>Solli-Sæther, Hans</t>
  </si>
  <si>
    <t>623.8028'6</t>
  </si>
  <si>
    <t>VM605.O53</t>
  </si>
  <si>
    <t>9781466643185</t>
  </si>
  <si>
    <t>9781466643178</t>
  </si>
  <si>
    <t>Marine Technology and Sustainable Development: Green Innovations</t>
  </si>
  <si>
    <t>Olanrewaju, Oladokun Sulaiman</t>
  </si>
  <si>
    <t>HF5415.1265.M3275</t>
  </si>
  <si>
    <t>9781466648654</t>
  </si>
  <si>
    <t>9781466648647</t>
  </si>
  <si>
    <t>Marketing in the Cyber Era: Strategies and Emerging Trends</t>
  </si>
  <si>
    <t>Ghorbani, Ali</t>
  </si>
  <si>
    <t>W26.55.D2</t>
  </si>
  <si>
    <t>9781466618046</t>
  </si>
  <si>
    <t>9781466618039</t>
  </si>
  <si>
    <t>Medical Applications of Intelligent Data Analysis: Research Advancements</t>
  </si>
  <si>
    <t>QA76.585.M63</t>
  </si>
  <si>
    <t>9781466647824</t>
  </si>
  <si>
    <t>9781466647817</t>
  </si>
  <si>
    <t>Mobile Networks and Cloud Computing Convergence for Progressive Services and Applications</t>
  </si>
  <si>
    <t>HF5548.32 .T45 2010</t>
  </si>
  <si>
    <t>9781605669175</t>
  </si>
  <si>
    <t>9781605669168</t>
  </si>
  <si>
    <t>Mobilized Marketing and the Consumer: Technological Developments and Challenges</t>
  </si>
  <si>
    <t>Yamamoto, Gonca Telli</t>
  </si>
  <si>
    <t>147'.96</t>
  </si>
  <si>
    <t>BJ59.M665</t>
  </si>
  <si>
    <t>9781466629325</t>
  </si>
  <si>
    <t>9781466629318</t>
  </si>
  <si>
    <t>Moral, Ethical, and Social Dilemmas in the Age of Technology: Theories and Practice</t>
  </si>
  <si>
    <t>TK5101.M85</t>
  </si>
  <si>
    <t>9781466647169</t>
  </si>
  <si>
    <t>9781466647152</t>
  </si>
  <si>
    <t>Multidisciplinary Perspectives on Telecommunications, Wireless Systems, and Mobile Computing</t>
  </si>
  <si>
    <t>QA76.9.N37N375</t>
  </si>
  <si>
    <t>9781466615755</t>
  </si>
  <si>
    <t>9781466615748</t>
  </si>
  <si>
    <t>Nature-Inspired Computing Design, Development, and Applications</t>
  </si>
  <si>
    <t>Castro, Leandro Nunes de</t>
  </si>
  <si>
    <t>TK5105.59.N3434</t>
  </si>
  <si>
    <t>9781466647909</t>
  </si>
  <si>
    <t>9781466647893</t>
  </si>
  <si>
    <t>Network Security Technologies: Design and Applications</t>
  </si>
  <si>
    <t>Amine, Abdelmalek</t>
  </si>
  <si>
    <t>621.48'35</t>
  </si>
  <si>
    <t>TK9152.N785</t>
  </si>
  <si>
    <t>9781466651340</t>
  </si>
  <si>
    <t>9781466651333</t>
  </si>
  <si>
    <t>Nuclear Power Plant Instrumentation and Control Systems for Safety and Security</t>
  </si>
  <si>
    <t>Yastrebenetsky, Michael</t>
  </si>
  <si>
    <t>QA76.9.I52P33</t>
  </si>
  <si>
    <t>9781466644632</t>
  </si>
  <si>
    <t>9781466644625</t>
  </si>
  <si>
    <t>Packaging Digital Information for Enhanced Learning and Analysis: Data Visualization, Spatialization, and Multidimensionality</t>
  </si>
  <si>
    <t>R858.P385</t>
  </si>
  <si>
    <t>9781466645479</t>
  </si>
  <si>
    <t>9781466645462</t>
  </si>
  <si>
    <t>Michell, Vaughan</t>
  </si>
  <si>
    <t>LB1028.3.P28</t>
  </si>
  <si>
    <t>9781466629868</t>
  </si>
  <si>
    <t>9781466629851</t>
  </si>
  <si>
    <t>Pedagogical Applications and Social Effects of Mobile Technology Integration</t>
  </si>
  <si>
    <t>Keengwe, Jared</t>
  </si>
  <si>
    <t>QA76.9.I52U77</t>
  </si>
  <si>
    <t>9781466647046</t>
  </si>
  <si>
    <t>9781466647039</t>
  </si>
  <si>
    <t>Perceptions of Knowledge Visualization: Explaining Concepts through Meaningful Images</t>
  </si>
  <si>
    <t>QA76.585.G83</t>
  </si>
  <si>
    <t>9781466646841</t>
  </si>
  <si>
    <t>9781466646834</t>
  </si>
  <si>
    <t>Pervasive Cloud Computing Technologies: Future Outlooks and Interdisciplinary Perspectives</t>
  </si>
  <si>
    <t>Grandinetti, Lucio</t>
  </si>
  <si>
    <t>794.801/9</t>
  </si>
  <si>
    <t>GV1469.34.P79 C66</t>
  </si>
  <si>
    <t>9781466647749</t>
  </si>
  <si>
    <t>9781466647732</t>
  </si>
  <si>
    <t>Psychology, Pedagogy, and Assessment in Serious Games</t>
  </si>
  <si>
    <t>Connolly, Thomas M.</t>
  </si>
  <si>
    <t>541'.28</t>
  </si>
  <si>
    <t>QD462.P88</t>
  </si>
  <si>
    <t>9781466646889</t>
  </si>
  <si>
    <t>9781466646872</t>
  </si>
  <si>
    <t>Quantum and Optical Dynamics of Matter for Nanotechnology</t>
  </si>
  <si>
    <t>Putz, Mihai V.</t>
  </si>
  <si>
    <t>005.4'37</t>
  </si>
  <si>
    <t>QA76.59.R47</t>
  </si>
  <si>
    <t>9781466644472</t>
  </si>
  <si>
    <t>9781466644465</t>
  </si>
  <si>
    <t>Research and Design Innovations for Mobile User Experience</t>
  </si>
  <si>
    <t>TK5105.5828.R47</t>
  </si>
  <si>
    <t>9781466641822</t>
  </si>
  <si>
    <t>9781466641815</t>
  </si>
  <si>
    <t>Research and Development in E-Business through Service-Oriented Solutions</t>
  </si>
  <si>
    <t>Tarnay, Katalin</t>
  </si>
  <si>
    <t>TK7882.B56R47</t>
  </si>
  <si>
    <t>9781466648692</t>
  </si>
  <si>
    <t>9781466648685</t>
  </si>
  <si>
    <t>Research Developments in Biometrics and Video Processing Techniques</t>
  </si>
  <si>
    <t>Srivastava, Rajeev</t>
  </si>
  <si>
    <t>TA1634.R47</t>
  </si>
  <si>
    <t>9781466645592</t>
  </si>
  <si>
    <t>9781466645585</t>
  </si>
  <si>
    <t>Research Developments in Computer Vision and Image Processing: Methodologies and Applications</t>
  </si>
  <si>
    <t>363.11'96655</t>
  </si>
  <si>
    <t>TN871.R55</t>
  </si>
  <si>
    <t>9781466647787</t>
  </si>
  <si>
    <t>9781466647770</t>
  </si>
  <si>
    <t>Risk Analysis for Prevention of Hazardous Situations in Petroleum and Natural Gas Engineering</t>
  </si>
  <si>
    <t>Matanovic, Davorin</t>
  </si>
  <si>
    <t>658.4'038028546782</t>
  </si>
  <si>
    <t>HD30.2.S438</t>
  </si>
  <si>
    <t>9781466657892</t>
  </si>
  <si>
    <t>9781466657885</t>
  </si>
  <si>
    <t>Security, Trust, and Regulatory Aspects of Cloud Computing in Business Environments</t>
  </si>
  <si>
    <t>Srinivasan, S.</t>
  </si>
  <si>
    <t>004.6'54</t>
  </si>
  <si>
    <t>TK5105.5828.S455</t>
  </si>
  <si>
    <t>9781466641945</t>
  </si>
  <si>
    <t>9781466641938</t>
  </si>
  <si>
    <t>Service-Driven Approaches to Architecture and Enterprise Integration</t>
  </si>
  <si>
    <t>Ramanathan, Raja</t>
  </si>
  <si>
    <t>R858.A2</t>
  </si>
  <si>
    <t>9781466661516</t>
  </si>
  <si>
    <t>9781466661509</t>
  </si>
  <si>
    <t>Social Media and Mobile Technologies for Healthcare</t>
  </si>
  <si>
    <t>Househ, Mowafa</t>
  </si>
  <si>
    <t>338.9</t>
  </si>
  <si>
    <t>HC79.C3H3556</t>
  </si>
  <si>
    <t>9781466651555</t>
  </si>
  <si>
    <t>9781466651548</t>
  </si>
  <si>
    <t>Ray, Nilanjan</t>
  </si>
  <si>
    <t>HD62.7.H3723</t>
  </si>
  <si>
    <t>9781466659636</t>
  </si>
  <si>
    <t>9781466659629</t>
  </si>
  <si>
    <t>Todorov, Kiril</t>
  </si>
  <si>
    <t>338.47796</t>
  </si>
  <si>
    <t>GV716.S758</t>
  </si>
  <si>
    <t>9781466659957</t>
  </si>
  <si>
    <t>9781466659940</t>
  </si>
  <si>
    <t>Strategies in Sports Marketing: Technologies and Emerging Trends</t>
  </si>
  <si>
    <t>Santos, Manuel Alonso Dos</t>
  </si>
  <si>
    <t>620'.44</t>
  </si>
  <si>
    <t>TA418.7.S87</t>
  </si>
  <si>
    <t>9781466652187</t>
  </si>
  <si>
    <t>9781466651418</t>
  </si>
  <si>
    <t>Surface Engineering Techniques and Applications: Research Advancements</t>
  </si>
  <si>
    <t>Santo, Loredana</t>
  </si>
  <si>
    <t>338.9'27</t>
  </si>
  <si>
    <t>HC79.E5G49</t>
  </si>
  <si>
    <t>9781466649965</t>
  </si>
  <si>
    <t>9781466649958</t>
  </si>
  <si>
    <t>Sustainability Science for Social, Economic, and Environmental Development</t>
  </si>
  <si>
    <t>Ghosh, Nilanjan</t>
  </si>
  <si>
    <t>338.9/270285 22</t>
  </si>
  <si>
    <t>HC59.72.E5 S883</t>
  </si>
  <si>
    <t>9781615207107</t>
  </si>
  <si>
    <t>9781615207091</t>
  </si>
  <si>
    <t>Sustainable Economic Development and the Influence of Information Technologies: Dynamics of Knowledge Society Transformation</t>
  </si>
  <si>
    <t>Karatas, Muhammed</t>
  </si>
  <si>
    <t>006.6'93</t>
  </si>
  <si>
    <t>TA1560.T43</t>
  </si>
  <si>
    <t>9781466649330</t>
  </si>
  <si>
    <t>9781466649323</t>
  </si>
  <si>
    <t>Techniques and Principles in Three-Dimensional Imaging: An Introductory Approach</t>
  </si>
  <si>
    <t>Richardson, Martin</t>
  </si>
  <si>
    <t>307.1'216</t>
  </si>
  <si>
    <t>HT166.T434</t>
  </si>
  <si>
    <t>9781466643505</t>
  </si>
  <si>
    <t>9781466643499</t>
  </si>
  <si>
    <t>Technologies for Urban and Spatial Planning: Virtual Cities and Territories</t>
  </si>
  <si>
    <t>Pinto, Nuno Norte</t>
  </si>
  <si>
    <t>R119.9.T4454</t>
  </si>
  <si>
    <t>9781466629806</t>
  </si>
  <si>
    <t>9781466629790</t>
  </si>
  <si>
    <t>Telehealth Networks for Hospital Services: New Methodologies</t>
  </si>
  <si>
    <t>Gulla, Vincenzo</t>
  </si>
  <si>
    <t>371.33'453</t>
  </si>
  <si>
    <t>LB1044.87.S6175</t>
  </si>
  <si>
    <t>9781466649057</t>
  </si>
  <si>
    <t>9781466649040</t>
  </si>
  <si>
    <t>The Social Classroom: Integrating Social Network Use in Education</t>
  </si>
  <si>
    <t>658.80089</t>
  </si>
  <si>
    <t>HF5415.T6963</t>
  </si>
  <si>
    <t>9781466647503</t>
  </si>
  <si>
    <t>9781466647497</t>
  </si>
  <si>
    <t>Transcultural Marketing for Incremental and Radical Innovation</t>
  </si>
  <si>
    <t>HF5548.32.T7394</t>
  </si>
  <si>
    <t>9781466645110</t>
  </si>
  <si>
    <t>9781466645103</t>
  </si>
  <si>
    <t>Trends in E-Business, E-Services, and E-Commerce: Impact of Technology on Goods, Services, and Business Transactions</t>
  </si>
  <si>
    <t>QA76.9.H85Y35</t>
  </si>
  <si>
    <t>9781466647664</t>
  </si>
  <si>
    <t>9781466647657</t>
  </si>
  <si>
    <t>Trust Management in Mobile Environments: Autonomic and Usable Models</t>
  </si>
  <si>
    <t>620.0071'1</t>
  </si>
  <si>
    <t>T65.3.U85</t>
  </si>
  <si>
    <t>9781466650121</t>
  </si>
  <si>
    <t>9781466650114</t>
  </si>
  <si>
    <t>Using Technology Tools to Innovate Assessment, Reporting, and Teaching Practices in Engineering Education</t>
  </si>
  <si>
    <t>Alam, Firoz</t>
  </si>
  <si>
    <t>621.389'28</t>
  </si>
  <si>
    <t>HD38.7.I534</t>
  </si>
  <si>
    <t>9781466648975</t>
  </si>
  <si>
    <t>9781466648968</t>
  </si>
  <si>
    <t>Video Surveillance Techniques and Technologies</t>
  </si>
  <si>
    <t>Zeljkovic, Vesna</t>
  </si>
  <si>
    <t>QA76.9.W65B4</t>
  </si>
  <si>
    <t>9781466658615</t>
  </si>
  <si>
    <t>9781466658608</t>
  </si>
  <si>
    <t>Women in IT in the New Social Era: A Critical Evidence-Based Review of Gender Inequality and the Potential for Change</t>
  </si>
  <si>
    <t>Bernhardt, Sonja</t>
  </si>
  <si>
    <t>621.39028'6</t>
  </si>
  <si>
    <t>TK7895.P68E54</t>
  </si>
  <si>
    <t>9781466618435</t>
  </si>
  <si>
    <t>9781466618428</t>
  </si>
  <si>
    <t>Energy-Aware Systems and Networking for Sustainable Initiatives</t>
  </si>
  <si>
    <t>Kaabouch, Naima</t>
  </si>
  <si>
    <t>HD9502.A2 S925 2012</t>
  </si>
  <si>
    <t>9781613503454</t>
  </si>
  <si>
    <t>9781613503447</t>
  </si>
  <si>
    <t>Sustainable Systems and Energy Management at the Regional Level: Comparative Approaches</t>
  </si>
  <si>
    <t>Tortora, Marco</t>
  </si>
  <si>
    <t>HF5415.5 .E2 2011</t>
  </si>
  <si>
    <t>9781609605988</t>
  </si>
  <si>
    <t>9781609605971</t>
  </si>
  <si>
    <t>E-Adoption and Socio-Economic Impacts: Emerging Infrastructural Effects</t>
  </si>
  <si>
    <t>Sharma, Sushil K.</t>
  </si>
  <si>
    <t>連結</t>
    <phoneticPr fontId="3" type="noConversion"/>
  </si>
  <si>
    <t>Handbook of Research on Strategic Business Infrastructure Development and Contemporary Issues in Finance</t>
    <phoneticPr fontId="3" type="noConversion"/>
  </si>
  <si>
    <t>Handbook of Research on Consumerism in Business and Marketing: Concepts and Practices</t>
    <phoneticPr fontId="3" type="noConversion"/>
  </si>
  <si>
    <t>Handbook of Research on Strategic Management in Small and Medium Enterprises: Theory and Practice</t>
    <phoneticPr fontId="3" type="noConversion"/>
  </si>
  <si>
    <t>Handbook of Research on Management of Cultural Products: E-Relationship Marketing and Accessibility Perspectives</t>
    <phoneticPr fontId="3" type="noConversion"/>
  </si>
  <si>
    <t>004.082</t>
    <phoneticPr fontId="3" type="noConversion"/>
  </si>
  <si>
    <t>Handbook of Research on Design and Management of Lean Production Systems</t>
    <phoneticPr fontId="3" type="noConversion"/>
  </si>
  <si>
    <t>Handbook of Research on Economic Growth and Technological Change in Latin America</t>
    <phoneticPr fontId="3" type="noConversion"/>
  </si>
  <si>
    <t>Handbook of Research on Effective Marketing in Contemporary Globalism</t>
    <phoneticPr fontId="3" type="noConversion"/>
  </si>
  <si>
    <t>006.3</t>
    <phoneticPr fontId="3" type="noConversion"/>
  </si>
  <si>
    <t>005.1</t>
    <phoneticPr fontId="3" type="noConversion"/>
  </si>
  <si>
    <t>006.6</t>
    <phoneticPr fontId="3" type="noConversion"/>
  </si>
  <si>
    <t>006.7</t>
    <phoneticPr fontId="3" type="noConversion"/>
  </si>
  <si>
    <t>Handbook of Research on Demand-Driven Web Services: Theory, Technologies, and Applications</t>
    <phoneticPr fontId="3" type="noConversion"/>
  </si>
  <si>
    <t>Handbook of Research on Embedded System Design</t>
    <phoneticPr fontId="3" type="noConversion"/>
  </si>
  <si>
    <t>Mallia, Gorg</t>
    <phoneticPr fontId="3" type="noConversion"/>
  </si>
  <si>
    <t>Handbook of Research on Cloud Infrastructures for Big Data Analytics</t>
    <phoneticPr fontId="3" type="noConversion"/>
  </si>
  <si>
    <t>005.74</t>
    <phoneticPr fontId="3" type="noConversion"/>
  </si>
  <si>
    <t>025.042</t>
    <phoneticPr fontId="3" type="noConversion"/>
  </si>
  <si>
    <t>Rızvanoğlu, Kerem</t>
    <phoneticPr fontId="3" type="noConversion"/>
  </si>
  <si>
    <t>Handbook of Research on Patient Safety and Quality Care through Health Informatics</t>
    <phoneticPr fontId="3" type="noConversion"/>
  </si>
  <si>
    <t>005.8</t>
    <phoneticPr fontId="3" type="noConversion"/>
  </si>
  <si>
    <t>006.4</t>
    <phoneticPr fontId="3" type="noConversion"/>
  </si>
  <si>
    <t>http://dx.doi.org/10.4018/978-1-4666-5994-0</t>
    <phoneticPr fontId="3" type="noConversion"/>
  </si>
  <si>
    <t>http://dx.doi.org/10.4018/978-1-4666-4745-9</t>
    <phoneticPr fontId="3" type="noConversion"/>
  </si>
  <si>
    <t>http://dx.doi.org/10.4018/978-1-4666-4550-9</t>
    <phoneticPr fontId="3" type="noConversion"/>
  </si>
  <si>
    <t>http://dx.doi.org/10.4018/978-1-6152-0709-1</t>
    <phoneticPr fontId="3" type="noConversion"/>
  </si>
  <si>
    <t>http://dx.doi.org/10.4018/978-1-4666-5154-8</t>
    <phoneticPr fontId="3" type="noConversion"/>
  </si>
  <si>
    <t>http://dx.doi.org/10.4018/978-1-4666-5880-6</t>
    <phoneticPr fontId="3" type="noConversion"/>
  </si>
  <si>
    <t>http://dx.doi.org/10.4018/978-1-4666-4478-6</t>
    <phoneticPr fontId="3" type="noConversion"/>
  </si>
  <si>
    <t>http://dx.doi.org/10.4018/978-1-4666-4753-4</t>
    <phoneticPr fontId="3" type="noConversion"/>
  </si>
  <si>
    <t>http://dx.doi.org/10.4018/978-1-4666-4518-9</t>
    <phoneticPr fontId="3" type="noConversion"/>
  </si>
  <si>
    <t>http://dx.doi.org/10.4018/978-1-4666-4506-6</t>
    <phoneticPr fontId="3" type="noConversion"/>
  </si>
  <si>
    <t>http://dx.doi.org/10.4018/978-1-4666-5958-2</t>
    <phoneticPr fontId="3" type="noConversion"/>
  </si>
  <si>
    <t>http://dx.doi.org/10.4018/978-1-4666-4860-9</t>
    <phoneticPr fontId="3" type="noConversion"/>
  </si>
  <si>
    <t>http://dx.doi.org/10.4018/978-1-4666-2836-6</t>
    <phoneticPr fontId="3" type="noConversion"/>
  </si>
  <si>
    <t>http://dx.doi.org/10.4018/978-1-4666-5962-9</t>
    <phoneticPr fontId="3" type="noConversion"/>
  </si>
  <si>
    <t>http://dx.doi.org/10.4018/978-1-6056-6796-6</t>
    <phoneticPr fontId="3" type="noConversion"/>
  </si>
  <si>
    <t>http://dx.doi.org/10.4018/978-1-4666-4329-1</t>
    <phoneticPr fontId="3" type="noConversion"/>
  </si>
  <si>
    <t>http://dx.doi.org/10.4018/978-1-4666-4185-3</t>
    <phoneticPr fontId="3" type="noConversion"/>
  </si>
  <si>
    <t>http://dx.doi.org/10.4018/978-1-4666-5007-7</t>
    <phoneticPr fontId="3" type="noConversion"/>
  </si>
  <si>
    <t>http://dx.doi.org/10.4018/978-1-4666-4430-4</t>
    <phoneticPr fontId="3" type="noConversion"/>
  </si>
  <si>
    <t>http://dx.doi.org/10.4018/978-1-4666-4578-3</t>
    <phoneticPr fontId="3" type="noConversion"/>
  </si>
  <si>
    <t>http://dx.doi.org/10.4018/978-1-4666-4864-7</t>
    <phoneticPr fontId="3" type="noConversion"/>
  </si>
  <si>
    <t>http://dx.doi.org/10.4018/978-1-4666-4357-4</t>
    <phoneticPr fontId="3" type="noConversion"/>
  </si>
  <si>
    <t>http://dx.doi.org/10.4018/978-1-4666-4749-7</t>
    <phoneticPr fontId="3" type="noConversion"/>
  </si>
  <si>
    <t>http://dx.doi.org/10.4018/978-1-6056-6916-8</t>
    <phoneticPr fontId="3" type="noConversion"/>
  </si>
  <si>
    <t>http://dx.doi.org/10.4018/978-1-6056-6064-6</t>
    <phoneticPr fontId="3" type="noConversion"/>
  </si>
  <si>
    <t>http://dx.doi.org/10.4018/978-1-4666-4510-3</t>
    <phoneticPr fontId="3" type="noConversion"/>
  </si>
  <si>
    <t>http://dx.doi.org/10.4018/978-1-4666-4635-3</t>
    <phoneticPr fontId="3" type="noConversion"/>
  </si>
  <si>
    <t>http://dx.doi.org/10.4018/978-1-4666-5860-8</t>
    <phoneticPr fontId="3" type="noConversion"/>
  </si>
  <si>
    <t>http://dx.doi.org/10.4018/978-1-4666-4181-5</t>
    <phoneticPr fontId="3" type="noConversion"/>
  </si>
  <si>
    <t>http://dx.doi.org/10.4018/978-1-4666-5039-8</t>
    <phoneticPr fontId="3" type="noConversion"/>
  </si>
  <si>
    <t>http://dx.doi.org/10.4018/978-1-4666-6224-7</t>
    <phoneticPr fontId="3" type="noConversion"/>
  </si>
  <si>
    <t>http://dx.doi.org/10.4018/978-1-4666-6272-8</t>
    <phoneticPr fontId="3" type="noConversion"/>
  </si>
  <si>
    <t>http://dx.doi.org/10.4018/978-1-4666-6220-9</t>
    <phoneticPr fontId="3" type="noConversion"/>
  </si>
  <si>
    <t>http://dx.doi.org/10.4018/978-1-4666-4002-3</t>
    <phoneticPr fontId="3" type="noConversion"/>
  </si>
  <si>
    <t>http://dx.doi.org/10.4018/978-1-4666-2967-7</t>
    <phoneticPr fontId="3" type="noConversion"/>
  </si>
  <si>
    <t>http://dx.doi.org/10.4018/978-1-4666-3942-3</t>
    <phoneticPr fontId="3" type="noConversion"/>
  </si>
  <si>
    <t>http://dx.doi.org/10.4018/978-1-4666-4683-4</t>
    <phoneticPr fontId="3" type="noConversion"/>
  </si>
  <si>
    <t>http://dx.doi.org/10.4018/978-1-4666-4801-2</t>
    <phoneticPr fontId="3" type="noConversion"/>
  </si>
  <si>
    <t>http://dx.doi.org/10.4018/978-1-4666-4522-6</t>
    <phoneticPr fontId="3" type="noConversion"/>
  </si>
  <si>
    <t>http://dx.doi.org/10.4018/978-1-4666-6030-4</t>
    <phoneticPr fontId="3" type="noConversion"/>
  </si>
  <si>
    <t>http://dx.doi.org/10.4018/978-1-4666-4369-7</t>
    <phoneticPr fontId="3" type="noConversion"/>
  </si>
  <si>
    <t>http://dx.doi.org/10.4018/978-1-4666-2169-5</t>
    <phoneticPr fontId="3" type="noConversion"/>
  </si>
  <si>
    <t>http://dx.doi.org/10.4018/978-1-4666-2651-5</t>
    <phoneticPr fontId="3" type="noConversion"/>
  </si>
  <si>
    <t>http://dx.doi.org/10.4018/978-1-4666-4785-5</t>
    <phoneticPr fontId="3" type="noConversion"/>
  </si>
  <si>
    <t>http://dx.doi.org/10.4018/978-1-4666-2160-2</t>
    <phoneticPr fontId="3" type="noConversion"/>
  </si>
  <si>
    <t>http://dx.doi.org/10.4018/978-1-6056-6040-0</t>
    <phoneticPr fontId="3" type="noConversion"/>
  </si>
  <si>
    <t>http://dx.doi.org/10.4018/978-1-4666-2542-6</t>
    <phoneticPr fontId="3" type="noConversion"/>
  </si>
  <si>
    <t>http://dx.doi.org/10.4018/978-1-4666-4558-5</t>
    <phoneticPr fontId="3" type="noConversion"/>
  </si>
  <si>
    <t>http://dx.doi.org/10.4018/978-1-4666-4494-6</t>
    <phoneticPr fontId="3" type="noConversion"/>
  </si>
  <si>
    <t>http://dx.doi.org/10.4018/978-1-4666-4936-1</t>
    <phoneticPr fontId="3" type="noConversion"/>
  </si>
  <si>
    <t>http://dx.doi.org/10.4018/978-1-4666-4074-0</t>
    <phoneticPr fontId="3" type="noConversion"/>
  </si>
  <si>
    <t>http://dx.doi.org/10.4018/978-1-4666-4189-1</t>
    <phoneticPr fontId="3" type="noConversion"/>
  </si>
  <si>
    <t>http://dx.doi.org/10.4018/978-1-4666-4193-8</t>
    <phoneticPr fontId="3" type="noConversion"/>
  </si>
  <si>
    <t>http://dx.doi.org/10.4018/978-1-4666-5129-6</t>
    <phoneticPr fontId="3" type="noConversion"/>
  </si>
  <si>
    <t>http://dx.doi.org/10.4018/978-1-4666-5884-4</t>
    <phoneticPr fontId="3" type="noConversion"/>
  </si>
  <si>
    <t>http://dx.doi.org/10.4018/978-1-4666-6034-2</t>
    <phoneticPr fontId="3" type="noConversion"/>
  </si>
  <si>
    <t>http://dx.doi.org/10.4018/978-1-4666-6194-3</t>
    <phoneticPr fontId="3" type="noConversion"/>
  </si>
  <si>
    <t>http://dx.doi.org/10.4018/978-1-4666-1803-9</t>
    <phoneticPr fontId="3" type="noConversion"/>
  </si>
  <si>
    <t>http://dx.doi.org/10.4018/978-1-4666-4773-2</t>
    <phoneticPr fontId="3" type="noConversion"/>
  </si>
  <si>
    <t>http://dx.doi.org/10.4018/978-1-4666-2985-1</t>
    <phoneticPr fontId="3" type="noConversion"/>
  </si>
  <si>
    <t>http://dx.doi.org/10.4018/978-1-4666-4574-5</t>
    <phoneticPr fontId="3" type="noConversion"/>
  </si>
  <si>
    <t>http://dx.doi.org/10.4018/978-1-4666-4904-0</t>
    <phoneticPr fontId="3" type="noConversion"/>
  </si>
  <si>
    <t>http://dx.doi.org/10.4018/978-1-4666-4797-8</t>
    <phoneticPr fontId="3" type="noConversion"/>
  </si>
  <si>
    <t>http://dx.doi.org/10.4018/978-1-4666-4651-3</t>
    <phoneticPr fontId="3" type="noConversion"/>
  </si>
  <si>
    <t>http://dx.doi.org/10.4018/978-1-4666-4486-1</t>
    <phoneticPr fontId="3" type="noConversion"/>
  </si>
  <si>
    <t>http://dx.doi.org/10.4018/978-1-4666-4482-3</t>
    <phoneticPr fontId="3" type="noConversion"/>
  </si>
  <si>
    <t>http://dx.doi.org/10.4018/978-1-4666-4341-3</t>
    <phoneticPr fontId="3" type="noConversion"/>
  </si>
  <si>
    <t>http://dx.doi.org/10.4018/978-1-4666-4462-5</t>
    <phoneticPr fontId="3" type="noConversion"/>
  </si>
  <si>
    <t>http://dx.doi.org/10.4018/978-1-4666-3688-0</t>
    <phoneticPr fontId="3" type="noConversion"/>
  </si>
  <si>
    <t>http://dx.doi.org/10.4018/978-1-4666-4349-9</t>
    <phoneticPr fontId="3" type="noConversion"/>
  </si>
  <si>
    <t>http://dx.doi.org/10.4018/978-1-4666-1921-0</t>
    <phoneticPr fontId="3" type="noConversion"/>
  </si>
  <si>
    <t>http://dx.doi.org/10.4018/978-1-4666-4687-2</t>
    <phoneticPr fontId="3" type="noConversion"/>
  </si>
  <si>
    <t>http://dx.doi.org/10.4018/978-1-4666-5011-4</t>
    <phoneticPr fontId="3" type="noConversion"/>
  </si>
  <si>
    <t>http://dx.doi.org/10.4018/978-1-4666-5141-8</t>
    <phoneticPr fontId="3" type="noConversion"/>
  </si>
  <si>
    <t>http://dx.doi.org/10.4018/978-1-4666-4225-6</t>
    <phoneticPr fontId="3" type="noConversion"/>
  </si>
  <si>
    <t>http://dx.doi.org/10.4018/978-1-4666-5133-3</t>
    <phoneticPr fontId="3" type="noConversion"/>
  </si>
  <si>
    <t>http://dx.doi.org/10.4018/978-1-4666-4777-0</t>
    <phoneticPr fontId="3" type="noConversion"/>
  </si>
  <si>
    <t>http://dx.doi.org/10.4018/978-1-4666-1951-7</t>
    <phoneticPr fontId="3" type="noConversion"/>
  </si>
  <si>
    <t>http://dx.doi.org/10.4018/978-1-6152-0815-9</t>
    <phoneticPr fontId="3" type="noConversion"/>
  </si>
  <si>
    <t>http://dx.doi.org/10.4018/978-1-4666-4995-8</t>
    <phoneticPr fontId="3" type="noConversion"/>
  </si>
  <si>
    <t>http://dx.doi.org/10.4018/978-1-6135-0344-7</t>
    <phoneticPr fontId="3" type="noConversion"/>
  </si>
  <si>
    <t>http://dx.doi.org/10.4018/978-1-4666-4165-5</t>
    <phoneticPr fontId="3" type="noConversion"/>
  </si>
  <si>
    <t>http://dx.doi.org/10.4018/978-1-4666-1842-8</t>
    <phoneticPr fontId="3" type="noConversion"/>
  </si>
  <si>
    <t>http://dx.doi.org/10.4018/978-1-4666-4317-8</t>
    <phoneticPr fontId="3" type="noConversion"/>
  </si>
  <si>
    <t>http://dx.doi.org/10.4018/978-1-4666-4711-4</t>
    <phoneticPr fontId="3" type="noConversion"/>
  </si>
  <si>
    <t>http://dx.doi.org/10.4018/978-1-4666-4920-0</t>
    <phoneticPr fontId="3" type="noConversion"/>
  </si>
  <si>
    <t>http://dx.doi.org/10.4018/978-1-4666-4213-3</t>
    <phoneticPr fontId="3" type="noConversion"/>
  </si>
  <si>
    <t>http://dx.doi.org/10.4018/978-1-4666-5864-6</t>
    <phoneticPr fontId="3" type="noConversion"/>
  </si>
  <si>
    <t>http://dx.doi.org/10.4018/978-1-4666-4699-5</t>
    <phoneticPr fontId="3" type="noConversion"/>
  </si>
  <si>
    <t>http://dx.doi.org/10.4018/978-1-4666-4309-3</t>
    <phoneticPr fontId="3" type="noConversion"/>
  </si>
  <si>
    <t>http://dx.doi.org/10.4018/978-1-4666-5158-6</t>
    <phoneticPr fontId="3" type="noConversion"/>
  </si>
  <si>
    <t>http://dx.doi.org/10.4018/978-1-4666-4631-5</t>
    <phoneticPr fontId="3" type="noConversion"/>
  </si>
  <si>
    <t>http://dx.doi.org/10.4018/978-1-4666-4241-6</t>
    <phoneticPr fontId="3" type="noConversion"/>
  </si>
  <si>
    <t>http://dx.doi.org/10.4018/978-1-4666-1897-8</t>
    <phoneticPr fontId="3" type="noConversion"/>
  </si>
  <si>
    <t>http://dx.doi.org/10.4018/978-1-4666-6086-1</t>
    <phoneticPr fontId="3" type="noConversion"/>
  </si>
  <si>
    <t>http://dx.doi.org/10.4018/978-1-4666-6078-6</t>
    <phoneticPr fontId="3" type="noConversion"/>
  </si>
  <si>
    <t>http://dx.doi.org/10.4018/978-1-4666-4896-8</t>
    <phoneticPr fontId="3" type="noConversion"/>
  </si>
  <si>
    <t>http://dx.doi.org/10.4018/978-1-5990-4795-9</t>
    <phoneticPr fontId="3" type="noConversion"/>
  </si>
  <si>
    <t>http://dx.doi.org/10.4018/978-1-4666-4916-3</t>
    <phoneticPr fontId="3" type="noConversion"/>
  </si>
  <si>
    <t>http://dx.doi.org/10.4018/978-1-4666-4781-7</t>
    <phoneticPr fontId="3" type="noConversion"/>
  </si>
  <si>
    <t>http://dx.doi.org/10.4018/978-1-4666-4446-5</t>
    <phoneticPr fontId="3" type="noConversion"/>
  </si>
  <si>
    <t>http://dx.doi.org/10.4018/978-1-4666-4703-9</t>
    <phoneticPr fontId="3" type="noConversion"/>
  </si>
  <si>
    <t>http://dx.doi.org/10.4018/978-1-4666-4932-3</t>
    <phoneticPr fontId="3" type="noConversion"/>
  </si>
  <si>
    <t>http://dx.doi.org/10.4018/978-1-4666-4715-2</t>
    <phoneticPr fontId="3" type="noConversion"/>
  </si>
  <si>
    <t>http://dx.doi.org/10.4018/978-1-4666-4888-3</t>
    <phoneticPr fontId="3" type="noConversion"/>
  </si>
  <si>
    <t>http://dx.doi.org/10.4018/978-1-4666-5170-8</t>
    <phoneticPr fontId="3" type="noConversion"/>
  </si>
  <si>
    <t>http://dx.doi.org/10.4018/978-1-4666-4221-8</t>
    <phoneticPr fontId="3" type="noConversion"/>
  </si>
  <si>
    <t>http://dx.doi.org/10.4018/978-1-4666-4442-7</t>
    <phoneticPr fontId="3" type="noConversion"/>
  </si>
  <si>
    <t>http://dx.doi.org/10.4018/978-1-4666-1574-8</t>
    <phoneticPr fontId="3" type="noConversion"/>
  </si>
  <si>
    <t>http://dx.doi.org/10.4018/978-1-4666-2979-0</t>
    <phoneticPr fontId="3" type="noConversion"/>
  </si>
  <si>
    <t>http://dx.doi.org/10.4018/978-1-4666-4619-3</t>
    <phoneticPr fontId="3" type="noConversion"/>
  </si>
  <si>
    <t>http://dx.doi.org/10.4018/978-1-4666-2657-7</t>
    <phoneticPr fontId="3" type="noConversion"/>
  </si>
  <si>
    <t>http://dx.doi.org/10.4018/978-1-4666-4546-2</t>
    <phoneticPr fontId="3" type="noConversion"/>
  </si>
  <si>
    <t>http://dx.doi.org/10.4018/978-1-6152-0905-7</t>
    <phoneticPr fontId="3" type="noConversion"/>
  </si>
  <si>
    <t>http://dx.doi.org/10.4018/978-1-4666-4723-7</t>
    <phoneticPr fontId="3" type="noConversion"/>
  </si>
  <si>
    <t>http://dx.doi.org/10.4018/978-1-4666-4325-3</t>
    <phoneticPr fontId="3" type="noConversion"/>
  </si>
  <si>
    <t>http://dx.doi.org/10.4018/978-1-4666-1876-3</t>
    <phoneticPr fontId="3" type="noConversion"/>
  </si>
  <si>
    <t>http://dx.doi.org/10.4018/978-1-4666-6118-9</t>
    <phoneticPr fontId="3" type="noConversion"/>
  </si>
  <si>
    <t>http://dx.doi.org/10.4018/978-1-4666-6150-9</t>
    <phoneticPr fontId="3" type="noConversion"/>
  </si>
  <si>
    <t>http://dx.doi.org/10.4018/978-1-4666-5146-3</t>
    <phoneticPr fontId="3" type="noConversion"/>
  </si>
  <si>
    <t>http://dx.doi.org/10.4018/978-1-6152-0987-3</t>
    <phoneticPr fontId="3" type="noConversion"/>
  </si>
  <si>
    <t>http://dx.doi.org/10.4018/978-1-4666-0981-5</t>
    <phoneticPr fontId="3" type="noConversion"/>
  </si>
  <si>
    <t>http://dx.doi.org/10.4018/978-1-4666-4169-3</t>
    <phoneticPr fontId="3" type="noConversion"/>
  </si>
  <si>
    <t>http://dx.doi.org/10.4018/978-1-4666-2029-2</t>
    <phoneticPr fontId="3" type="noConversion"/>
  </si>
  <si>
    <t>http://dx.doi.org/10.4018/978-1-4666-5788-5</t>
    <phoneticPr fontId="3" type="noConversion"/>
  </si>
  <si>
    <t>http://dx.doi.org/10.4018/978-1-4666-4765-7</t>
    <phoneticPr fontId="3" type="noConversion"/>
  </si>
  <si>
    <t>http://dx.doi.org/10.4018/978-1-4666-4940-8</t>
    <phoneticPr fontId="3" type="noConversion"/>
  </si>
  <si>
    <t>http://dx.doi.org/10.4018/978-1-4666-4789-3</t>
    <phoneticPr fontId="3" type="noConversion"/>
  </si>
  <si>
    <t>http://dx.doi.org/10.4018/978-1-4666-4868-5</t>
    <phoneticPr fontId="3" type="noConversion"/>
  </si>
  <si>
    <t>http://dx.doi.org/10.4018/978-1-4666-2931-8</t>
    <phoneticPr fontId="3" type="noConversion"/>
  </si>
  <si>
    <t>http://dx.doi.org/10.4018/978-1-4666-4534-9</t>
    <phoneticPr fontId="3" type="noConversion"/>
  </si>
  <si>
    <t>http://dx.doi.org/10.4018/978-1-6096-0597-1</t>
    <phoneticPr fontId="3" type="noConversion"/>
  </si>
  <si>
    <t>http://dx.doi.org/10.4018/978-1-4666-4490-8</t>
    <phoneticPr fontId="3" type="noConversion"/>
  </si>
  <si>
    <t>http://dx.doi.org/10.4018/978-1-6135-0465-9</t>
    <phoneticPr fontId="3" type="noConversion"/>
  </si>
  <si>
    <t>http://dx.doi.org/10.4018/978-1-4666-1918-0</t>
    <phoneticPr fontId="3" type="noConversion"/>
  </si>
  <si>
    <t>http://dx.doi.org/10.4018/978-1-4666-2107-7</t>
    <phoneticPr fontId="3" type="noConversion"/>
  </si>
  <si>
    <t>http://dx.doi.org/10.4018/978-1-4666-4623-0</t>
    <phoneticPr fontId="3" type="noConversion"/>
  </si>
  <si>
    <t>http://dx.doi.org/10.4018/978-1-4666-6142-4</t>
    <phoneticPr fontId="3" type="noConversion"/>
  </si>
  <si>
    <t>http://dx.doi.org/10.4018/978-1-4666-6248-3</t>
    <phoneticPr fontId="3" type="noConversion"/>
  </si>
  <si>
    <t>序號</t>
    <phoneticPr fontId="3" type="noConversion"/>
  </si>
  <si>
    <t>主題</t>
    <phoneticPr fontId="3" type="noConversion"/>
  </si>
  <si>
    <t>次主題</t>
    <phoneticPr fontId="3" type="noConversion"/>
  </si>
  <si>
    <t>電子書13碼ISBN</t>
    <phoneticPr fontId="3" type="noConversion"/>
  </si>
  <si>
    <t>題名</t>
    <phoneticPr fontId="3" type="noConversion"/>
  </si>
  <si>
    <t>版次</t>
    <phoneticPr fontId="3" type="noConversion"/>
  </si>
  <si>
    <t>出版者</t>
    <phoneticPr fontId="3" type="noConversion"/>
  </si>
  <si>
    <t>出版年</t>
    <phoneticPr fontId="3" type="noConversion"/>
  </si>
  <si>
    <t>連結</t>
    <phoneticPr fontId="3" type="noConversion"/>
  </si>
  <si>
    <t> HD30.213.A45</t>
  </si>
  <si>
    <t>9781466622005</t>
  </si>
  <si>
    <t>9781466621992</t>
  </si>
  <si>
    <t>Aligning Enterprise, System, and Software Architectures</t>
  </si>
  <si>
    <t>Mistrik, Ivan</t>
  </si>
  <si>
    <t>HD9980.5.B47</t>
  </si>
  <si>
    <t>9781466638952</t>
  </si>
  <si>
    <t>9781466638945</t>
  </si>
  <si>
    <t>Best Practices and New Perspectives in Service Science and Management</t>
  </si>
  <si>
    <t>HD30.2.B8735</t>
  </si>
  <si>
    <t>9781466629356</t>
  </si>
  <si>
    <t>9781466629349</t>
  </si>
  <si>
    <t>Business Innovation, Development, and Advancement in the Digital Economy</t>
  </si>
  <si>
    <t>Oncioiu, Ionica</t>
  </si>
  <si>
    <t>620.0068'4</t>
  </si>
  <si>
    <t>T56.B87</t>
  </si>
  <si>
    <t>9781466636590</t>
  </si>
  <si>
    <t>9781466636583</t>
  </si>
  <si>
    <t>Business Strategies and Approaches for Effective Engineering Management</t>
  </si>
  <si>
    <t>Saeed, Saqib</t>
  </si>
  <si>
    <t>621.31068'4</t>
  </si>
  <si>
    <t>TK3101.W55</t>
  </si>
  <si>
    <t>9781466628403</t>
  </si>
  <si>
    <t>9781466628397</t>
  </si>
  <si>
    <t>Business Strategies for Electrical Infrastructure Engineering: Capital Project Implementation</t>
  </si>
  <si>
    <t>Wilson, Reginald</t>
  </si>
  <si>
    <t>658.4'06</t>
  </si>
  <si>
    <t>HD58.8.Q2578</t>
  </si>
  <si>
    <t>9781466639119</t>
  </si>
  <si>
    <t>9781466639102</t>
  </si>
  <si>
    <t>Business-Oriented Enterprise Integration for Organizational Agility</t>
  </si>
  <si>
    <t>Qiu, Robin G.</t>
  </si>
  <si>
    <t>HC415.3.Z9I553</t>
  </si>
  <si>
    <t>9781466622210</t>
  </si>
  <si>
    <t>9781466622203</t>
  </si>
  <si>
    <t>Cases on Enterprise Information Systems and Implementation Stages: Learning from the Gulf Region</t>
  </si>
  <si>
    <t>Albadri, Fayez Ahmad</t>
  </si>
  <si>
    <t>658.5'03</t>
  </si>
  <si>
    <t>HD45.C375</t>
  </si>
  <si>
    <t>9781466626195</t>
  </si>
  <si>
    <t>9781466626188</t>
  </si>
  <si>
    <t>Cases on Performance Measurement and Productivity Improvement: Technology Integration and Maturity</t>
  </si>
  <si>
    <t>Khosrow-Pour, Mehdi</t>
  </si>
  <si>
    <t>658.001'51539</t>
  </si>
  <si>
    <t>HD58.7.C47</t>
    <phoneticPr fontId="3" type="noConversion"/>
  </si>
  <si>
    <t>9781466625105</t>
  </si>
  <si>
    <t>9781466625099</t>
  </si>
  <si>
    <t>Chaos and Complexity Theory for Management: Nonlinear Dynamics</t>
  </si>
  <si>
    <t>Banerjee, Santo</t>
  </si>
  <si>
    <t>004.6782</t>
    <phoneticPr fontId="3" type="noConversion"/>
  </si>
  <si>
    <t>QA76.585.C583</t>
  </si>
  <si>
    <t>9781466621886</t>
  </si>
  <si>
    <t>9781466621879</t>
  </si>
  <si>
    <t>Cloud Computing Service and Deployment Models: Layers and Management</t>
  </si>
  <si>
    <t>Bento, Alberto M.</t>
  </si>
  <si>
    <t> 658.4'038011</t>
  </si>
  <si>
    <t>HD30.2.C6383</t>
  </si>
  <si>
    <t>9781466624658</t>
  </si>
  <si>
    <t>9781466624641</t>
  </si>
  <si>
    <t>Competition, Strategy, and Modern Enterprise Information Systems</t>
  </si>
  <si>
    <t> 658.8'342</t>
  </si>
  <si>
    <t>HF5415.32.C655</t>
  </si>
  <si>
    <t>9781466640832</t>
  </si>
  <si>
    <t>9781466640825</t>
  </si>
  <si>
    <t>Consumer Information Systems and Relationship Management: Design, Implementation, and Use</t>
  </si>
  <si>
    <t>Lin, Angela</t>
  </si>
  <si>
    <t>HD9348.E852C66</t>
  </si>
  <si>
    <t>9781466628588</t>
  </si>
  <si>
    <t>9781466628571</t>
  </si>
  <si>
    <t>Consumption Culture in Europe: Insight into the Beverage Industry</t>
  </si>
  <si>
    <t>Santos, Carmen R.</t>
  </si>
  <si>
    <t>658.8'02</t>
  </si>
  <si>
    <t>HF5415.C87</t>
  </si>
  <si>
    <t>9781466625259</t>
  </si>
  <si>
    <t>9781466625242</t>
  </si>
  <si>
    <t>Customer-Centric Marketing Strategies: Tools for Building Organizational Performance</t>
  </si>
  <si>
    <t>Kaufmann, Hans Ruediger</t>
  </si>
  <si>
    <t>QA76.585.D38</t>
  </si>
  <si>
    <t>9781466639355</t>
  </si>
  <si>
    <t>9781466639348</t>
  </si>
  <si>
    <t>Data Intensive Storage Services for Cloud Environments</t>
  </si>
  <si>
    <t>Kyriazis, Dimosthenis P.</t>
  </si>
  <si>
    <t>HF5548.32.E1856</t>
  </si>
  <si>
    <t>9781466636231</t>
  </si>
  <si>
    <t>9781466636224</t>
  </si>
  <si>
    <t>E-Commerce for Organizational Development and Competitive Advantage</t>
  </si>
  <si>
    <t>378.1'06</t>
  </si>
  <si>
    <t>LB2341.92.D56</t>
  </si>
  <si>
    <t>9781466629837</t>
  </si>
  <si>
    <t>9781466629820</t>
  </si>
  <si>
    <t>Electronic Commerce and Organizational Leadership: Perspectives and Methodologies</t>
  </si>
  <si>
    <t>Djoleto, Wilhelmina</t>
  </si>
  <si>
    <t> 658.70285</t>
  </si>
  <si>
    <t>HD38.5.E4736</t>
  </si>
  <si>
    <t>9781466639157</t>
  </si>
  <si>
    <t>9781466639140</t>
  </si>
  <si>
    <t>E-Logistics and E-Supply Chain Management: Applications for Evolving Business</t>
  </si>
  <si>
    <t>Graham, Deryn</t>
  </si>
  <si>
    <t>HF5415.1265.E225</t>
  </si>
  <si>
    <t>9781466639553</t>
  </si>
  <si>
    <t>9781466639546</t>
  </si>
  <si>
    <t>E-Marketing in Developed and Developing Countries: Emerging Practices</t>
  </si>
  <si>
    <t>HF5548.2.E584</t>
  </si>
  <si>
    <t>9781466639478</t>
  </si>
  <si>
    <t>9781466639461</t>
  </si>
  <si>
    <t>Enterprise Business Modeling, Optimization Techniques, and Flexible Information Systems</t>
  </si>
  <si>
    <t>Papajorgji, Petraq J.</t>
  </si>
  <si>
    <t>338.6'42</t>
  </si>
  <si>
    <t>HD2341.E585</t>
  </si>
  <si>
    <t>9781466629530</t>
  </si>
  <si>
    <t>9781466629523</t>
  </si>
  <si>
    <t>Enterprise Development in SMEs and Entrepreneurial Firms: Dynamic Processes</t>
  </si>
  <si>
    <t>Ndubisi, Nelson Oly</t>
  </si>
  <si>
    <t> 511.5</t>
  </si>
  <si>
    <t>TA338.G7G73</t>
  </si>
  <si>
    <t>9781466626928</t>
  </si>
  <si>
    <t>9781466626614</t>
  </si>
  <si>
    <t>Graph Theory for Operations Research and Management: Applications in Industrial Engineering</t>
  </si>
  <si>
    <t>HD9980.5.I524</t>
  </si>
  <si>
    <t>9781466626805</t>
  </si>
  <si>
    <t>9781466626492</t>
  </si>
  <si>
    <t>Implementation and Integration of Information Systems in the Service Sector</t>
  </si>
  <si>
    <t>HC79.I55I5367</t>
  </si>
  <si>
    <t>9781466640634</t>
  </si>
  <si>
    <t>9781466640627</t>
  </si>
  <si>
    <t>Information Systems and Technology for Organizations in a Networked Society</t>
  </si>
  <si>
    <t>Issa, Tomayess</t>
  </si>
  <si>
    <t>332/.0420285</t>
    <phoneticPr fontId="3" type="noConversion"/>
  </si>
  <si>
    <t>HG173</t>
  </si>
  <si>
    <t>9781613501634</t>
  </si>
  <si>
    <t>9781613501627</t>
  </si>
  <si>
    <t>Information Systems for Global Financial Markets: Emerging Developments and Effects</t>
  </si>
  <si>
    <t>Yap, Alexander Y.</t>
  </si>
  <si>
    <t>HD30.2.C4734</t>
  </si>
  <si>
    <t>9781466625136</t>
  </si>
  <si>
    <t>9781466625129</t>
  </si>
  <si>
    <t>Knowledge Driven Service Innovation and Management: IT Strategies for Business Alignment and Value Creation</t>
  </si>
  <si>
    <t>Chew, Eng</t>
  </si>
  <si>
    <t>HD38.5.M357</t>
  </si>
  <si>
    <t>9781466624627</t>
  </si>
  <si>
    <t>9781466624610</t>
  </si>
  <si>
    <t>Management Innovations for Intelligent Supply Chains</t>
  </si>
  <si>
    <t>658.8'12</t>
  </si>
  <si>
    <t>HF5415.5.M158</t>
  </si>
  <si>
    <t>9781466636323</t>
  </si>
  <si>
    <t>9781466636316</t>
  </si>
  <si>
    <t>Managing Customer Trust, Satisfaction, and Loyalty through Information Communication Technologies</t>
  </si>
  <si>
    <t>HF5416.5.M36</t>
  </si>
  <si>
    <t>9781466640955</t>
  </si>
  <si>
    <t>9781466640948</t>
  </si>
  <si>
    <t>Marketing Decision Making and the Management of Pricing: Successful Business Tools</t>
  </si>
  <si>
    <t>LB2342.82.M368</t>
  </si>
  <si>
    <t>9781466640153</t>
  </si>
  <si>
    <t>9781466640146</t>
  </si>
  <si>
    <t>Marketing Strategies for Higher Education Institutions: Technological Considerations and Practices</t>
  </si>
  <si>
    <t>Tripathi, Purnendu</t>
  </si>
  <si>
    <t>HF5548.32.M63</t>
  </si>
  <si>
    <t>9781466619616</t>
  </si>
  <si>
    <t>9781466619609</t>
  </si>
  <si>
    <t>Mobile Applications and Knowledge Advancements in E-Business</t>
  </si>
  <si>
    <t>HF5548.32.M635</t>
  </si>
  <si>
    <t>9781466629479</t>
  </si>
  <si>
    <t>9781466629462</t>
  </si>
  <si>
    <t>Modern Entrepreneurship and E-Business Innovations</t>
  </si>
  <si>
    <t>Nasir, Suphan</t>
  </si>
  <si>
    <t>T58.6.O673</t>
  </si>
  <si>
    <t>9781466629264</t>
  </si>
  <si>
    <t>9781466629257</t>
  </si>
  <si>
    <t>Optimizing, Innovating, and Capitalizing on Information Systems for Operations</t>
  </si>
  <si>
    <t>658.8'72</t>
    <phoneticPr fontId="3" type="noConversion"/>
  </si>
  <si>
    <t>HF5415.1265.O74</t>
  </si>
  <si>
    <t>9781466640276</t>
  </si>
  <si>
    <t>9781466640269</t>
  </si>
  <si>
    <t>Organizations and Social Networking: Utilizing Social Media to Engage Consumers</t>
  </si>
  <si>
    <t>Li, Eldon Y.</t>
  </si>
  <si>
    <t>HD2365.O968</t>
  </si>
  <si>
    <t>9781466620094</t>
  </si>
  <si>
    <t>9781466620087</t>
  </si>
  <si>
    <t>Outsourcing Management for Supply Chain Operations and Logistics Services</t>
  </si>
  <si>
    <t>Folinas, Dimitris</t>
  </si>
  <si>
    <t>658.4'72</t>
    <phoneticPr fontId="3" type="noConversion"/>
  </si>
  <si>
    <t>HD38.7.P745</t>
    <phoneticPr fontId="3" type="noConversion"/>
  </si>
  <si>
    <t>9781466626812</t>
  </si>
  <si>
    <t>9781466626508</t>
  </si>
  <si>
    <t>Principles and Applications of Business Intelligence Research</t>
  </si>
  <si>
    <t>QA76.585.P75</t>
  </si>
  <si>
    <t>9781466628557</t>
  </si>
  <si>
    <t>9781466628540</t>
  </si>
  <si>
    <t>Principles, Methodologies, and  Service-Oriented Approaches for Cloud Computing</t>
  </si>
  <si>
    <t>Yang, Xiaoyu</t>
  </si>
  <si>
    <t>332.01'5118</t>
  </si>
  <si>
    <t>HG106.S59</t>
  </si>
  <si>
    <t>9781466620124</t>
  </si>
  <si>
    <t>9781466620117</t>
  </si>
  <si>
    <t>Simulation in Computational Finance and Economics: Tools and Emerging Applications</t>
  </si>
  <si>
    <t>Alexandrova-Kabadjova, Biliana</t>
  </si>
  <si>
    <t>HD2341.S564</t>
  </si>
  <si>
    <t>9781466638877</t>
  </si>
  <si>
    <t>9781466638860</t>
  </si>
  <si>
    <t>Small and Medium Enterprises: Concepts, Methodologies, Tools, and Applications</t>
  </si>
  <si>
    <t>IRMA</t>
  </si>
  <si>
    <t>HD30.213.S633</t>
  </si>
  <si>
    <t>9781466636651</t>
  </si>
  <si>
    <t>9781466636644</t>
  </si>
  <si>
    <t>Sociotechnical Enterprise Information Systems Design and Integration</t>
  </si>
  <si>
    <t>658.7</t>
    <phoneticPr fontId="3" type="noConversion"/>
  </si>
  <si>
    <t>HD38.5</t>
    <phoneticPr fontId="3" type="noConversion"/>
  </si>
  <si>
    <t>9781466626751</t>
  </si>
  <si>
    <t>9781466626256</t>
  </si>
  <si>
    <t>Supply Chain Management: Concepts, Methodologies, Tools, and Applications</t>
  </si>
  <si>
    <t>658.5/1</t>
    <phoneticPr fontId="3" type="noConversion"/>
  </si>
  <si>
    <t>9781466627741</t>
  </si>
  <si>
    <t>9781466627734</t>
  </si>
  <si>
    <t>Technological Solutions for Modern Logistics and Supply Chain Management</t>
  </si>
  <si>
    <t>338.5'42</t>
    <phoneticPr fontId="3" type="noConversion"/>
  </si>
  <si>
    <t>HB3722.T42</t>
  </si>
  <si>
    <t>9781466630079</t>
  </si>
  <si>
    <t>9781466630062</t>
  </si>
  <si>
    <t>Technology and Financial Crisis: Economical and Analytical Views</t>
  </si>
  <si>
    <t>Koyuncugil, Ali Serhan</t>
  </si>
  <si>
    <t>HF5415.1265.T735</t>
  </si>
  <si>
    <t>9781466618626</t>
  </si>
  <si>
    <t>9781466618619</t>
  </si>
  <si>
    <t>Transdisciplinary Marketing Concepts and Emergent Methods for Virtual Environments</t>
  </si>
  <si>
    <t>006.3/12</t>
    <phoneticPr fontId="3" type="noConversion"/>
  </si>
  <si>
    <t>QA76.9.D343</t>
    <phoneticPr fontId="3" type="noConversion"/>
  </si>
  <si>
    <t>9781466624566</t>
  </si>
  <si>
    <t>9781466624559</t>
  </si>
  <si>
    <t>Data Mining: Concepts, Methodologies, Tools, and Applications</t>
  </si>
  <si>
    <t>025.5'24</t>
  </si>
  <si>
    <t>ZA3075.D47</t>
  </si>
  <si>
    <t>9781466619760</t>
  </si>
  <si>
    <t>9781466619753</t>
  </si>
  <si>
    <t>Design, Performance, and Analysis of Innovative Information Retrieval</t>
  </si>
  <si>
    <t>Lu, Joan</t>
  </si>
  <si>
    <t>QA76.9.D343D48</t>
  </si>
  <si>
    <t>9781466621497</t>
  </si>
  <si>
    <t>9781466621480</t>
  </si>
  <si>
    <t>Developments in Data Extraction, Management, and Analysis</t>
  </si>
  <si>
    <t>Do, Nhung</t>
  </si>
  <si>
    <t>174'.9006312</t>
    <phoneticPr fontId="3" type="noConversion"/>
  </si>
  <si>
    <t>H61.3.E84</t>
  </si>
  <si>
    <t>9781466640795</t>
  </si>
  <si>
    <t>9781466640788</t>
  </si>
  <si>
    <t>Ethical Data Mining Applications for Socio-Economic Development</t>
  </si>
  <si>
    <t>006.7</t>
    <phoneticPr fontId="3" type="noConversion"/>
  </si>
  <si>
    <t>QA76.9.D26I564</t>
  </si>
  <si>
    <t>9781466620452</t>
  </si>
  <si>
    <t>9781466620445</t>
  </si>
  <si>
    <t>Innovations in Database Design, Web Applications, and Information Systems Management</t>
  </si>
  <si>
    <t>003/.52</t>
  </si>
  <si>
    <t>Q327.I545</t>
  </si>
  <si>
    <t>9781599049830</t>
  </si>
  <si>
    <t>9781599049823</t>
  </si>
  <si>
    <t>Intelligent Data Analysis: Developing New Methodologies Through Pattern Discovery and Recovery</t>
  </si>
  <si>
    <t>Wang, Hsiao-Fan</t>
  </si>
  <si>
    <t>006.3/1222</t>
  </si>
  <si>
    <t>LB1044.87.E362</t>
  </si>
  <si>
    <t>9781605667553</t>
  </si>
  <si>
    <t>9781605667546</t>
  </si>
  <si>
    <t>Rare Association Rule Mining and Knowledge Discovery: Technologies for Infrequent and Critical Event Detection</t>
  </si>
  <si>
    <t>Koh, Yun Sing</t>
  </si>
  <si>
    <t>378.1'035</t>
  </si>
  <si>
    <t>LC1085.A26</t>
  </si>
  <si>
    <t>9781466621176</t>
  </si>
  <si>
    <t>9781466621169</t>
  </si>
  <si>
    <t>Academic Entrepreneurship and Technological Innovation: A Business Management Perspective</t>
  </si>
  <si>
    <t>Szopa, Anna</t>
  </si>
  <si>
    <t>Q181.A1A696</t>
  </si>
  <si>
    <t>9781466628106</t>
  </si>
  <si>
    <t>9781466628090</t>
  </si>
  <si>
    <t>Approaches and Strategies in Next Generation Science Learning</t>
  </si>
  <si>
    <t>Khine, Myint Swe</t>
  </si>
  <si>
    <t>374</t>
  </si>
  <si>
    <t>LC5219.B535</t>
  </si>
  <si>
    <t>9781466609402</t>
  </si>
  <si>
    <t>9781466609396</t>
  </si>
  <si>
    <t>Blended Learning Environments for Adults: Evaluations and Frameworks</t>
  </si>
  <si>
    <t>Anastasiades, Panagiotes</t>
  </si>
  <si>
    <t>371.33'5</t>
  </si>
  <si>
    <t>9781466628168</t>
  </si>
  <si>
    <t>9781466628151</t>
  </si>
  <si>
    <t>Cases on 3D Technology Application and Integration in Education</t>
  </si>
  <si>
    <t>Nettleton, Kimberely Fletcher</t>
  </si>
  <si>
    <t>378.1'662</t>
  </si>
  <si>
    <t>LB2331.62.C37</t>
    <phoneticPr fontId="3" type="noConversion"/>
  </si>
  <si>
    <t>9781466626225</t>
  </si>
  <si>
    <t>9781466626218</t>
  </si>
  <si>
    <t>Cases on Assessment and Evaluation in Education</t>
  </si>
  <si>
    <t>371.33/422</t>
  </si>
  <si>
    <t>HD2365.I8</t>
  </si>
  <si>
    <t>9781605668796</t>
  </si>
  <si>
    <t>9781605668789</t>
  </si>
  <si>
    <t>Cases on Collaboration in Virtual Learning Environments: Processes and Interactions</t>
  </si>
  <si>
    <t>Russell, Donna</t>
  </si>
  <si>
    <t>371.33'468</t>
  </si>
  <si>
    <t>LB1044.87.C368</t>
  </si>
  <si>
    <t>9781466618862</t>
  </si>
  <si>
    <t>9781466618855</t>
  </si>
  <si>
    <t>Cases on Cultural Implications and Considerations in Online Learning</t>
  </si>
  <si>
    <t>Edmundson, Andrea</t>
  </si>
  <si>
    <t>371.39'7</t>
  </si>
  <si>
    <t>LB1029.S53B34</t>
  </si>
  <si>
    <t>9781466628496</t>
  </si>
  <si>
    <t>9781466628489</t>
  </si>
  <si>
    <t>Cases on Digital Game-Based Learning: Methods, Models, and Strategies</t>
  </si>
  <si>
    <t>Baek, Youngkyun</t>
  </si>
  <si>
    <t>LB1028.3.C3245</t>
  </si>
  <si>
    <t>9781466636774</t>
  </si>
  <si>
    <t>9781466636767</t>
  </si>
  <si>
    <t>Cases on Educational Technology Implementation for Facilitating  Learning</t>
  </si>
  <si>
    <t>Ritzhaupt, Albert D.</t>
  </si>
  <si>
    <t>378.1'7344678</t>
  </si>
  <si>
    <t>LB1028.3.C324</t>
  </si>
  <si>
    <t>9781466619340</t>
  </si>
  <si>
    <t>9781466619333</t>
  </si>
  <si>
    <t>Cases on E-Learning Management: Development and Implementation</t>
  </si>
  <si>
    <t>LB1028.3.C326</t>
  </si>
  <si>
    <t>9781466619319</t>
  </si>
  <si>
    <t>9781466619302</t>
  </si>
  <si>
    <t>Cases on Formal and Informal E-Learning Environments: Opportunities and Practices</t>
  </si>
  <si>
    <t>378.1'961</t>
  </si>
  <si>
    <t>LB3223.3.C42</t>
  </si>
  <si>
    <t>9781466627048</t>
  </si>
  <si>
    <t>9781466626737</t>
  </si>
  <si>
    <t>Cases on Higher Education Spaces: Innovation, Collaboration, and Technology</t>
  </si>
  <si>
    <t>Carpenter, Russell</t>
  </si>
  <si>
    <t>Q181.C35</t>
    <phoneticPr fontId="3" type="noConversion"/>
  </si>
  <si>
    <t>9781466600690</t>
  </si>
  <si>
    <t>9781466600683</t>
  </si>
  <si>
    <t>Cases on Inquiry through Instructional Technology in Math and Science</t>
  </si>
  <si>
    <t>Lennex, Lesia C.</t>
  </si>
  <si>
    <t>507.1'073</t>
  </si>
  <si>
    <t>Q183.3.A1C385</t>
    <phoneticPr fontId="3" type="noConversion"/>
  </si>
  <si>
    <t>9781466622159</t>
  </si>
  <si>
    <t>9781466622142</t>
  </si>
  <si>
    <t>Cases on Interdisciplinary Research Trends in Science, Technology, Engineering, and Mathematics: Studies on Urban Classrooms</t>
  </si>
  <si>
    <t>Lansiquot, Reneta D.</t>
  </si>
  <si>
    <t>LB1028.3.C3265</t>
  </si>
  <si>
    <t>9781466619371</t>
  </si>
  <si>
    <t>9781466619364</t>
  </si>
  <si>
    <t>Cases on Online Learning Communities and Beyond: Investigations and Applications</t>
  </si>
  <si>
    <t>378.1'25</t>
  </si>
  <si>
    <t>LB2331.C338</t>
  </si>
  <si>
    <t>9781466636620</t>
  </si>
  <si>
    <t>9781466636613</t>
  </si>
  <si>
    <t>Cases on Quality Teaching Practices in Higher Education</t>
  </si>
  <si>
    <t>Salter, Diane J.</t>
  </si>
  <si>
    <t>TA158.5.W345</t>
  </si>
  <si>
    <t>9781466620001</t>
  </si>
  <si>
    <t>9781466619999</t>
  </si>
  <si>
    <t>Challenging ICT Applications in Architecture, Engineering, and Industrial Design Education</t>
  </si>
  <si>
    <t>Wang, James</t>
  </si>
  <si>
    <t>372.7'043021873</t>
  </si>
  <si>
    <t>QA135.6.C647</t>
  </si>
  <si>
    <t>9781466640870</t>
  </si>
  <si>
    <t>9781466640863</t>
  </si>
  <si>
    <t>Common Core Mathematics Standards and Implementing Digital Technologies</t>
  </si>
  <si>
    <t>Polly, Drew</t>
  </si>
  <si>
    <t>418.0078'5</t>
  </si>
  <si>
    <t>P53.28.C64</t>
  </si>
  <si>
    <t>9781466628229</t>
  </si>
  <si>
    <t>9781466628212</t>
  </si>
  <si>
    <t>Computer-Assisted Foreign Language Teaching and Learning: Technological Advances</t>
  </si>
  <si>
    <t>Zou, Bin</t>
  </si>
  <si>
    <t>LC5800.C87</t>
  </si>
  <si>
    <t>9781466629509</t>
  </si>
  <si>
    <t>9781466629493</t>
  </si>
  <si>
    <t>Curriculum, Learning, and Teaching Advancements in Online Education</t>
  </si>
  <si>
    <t>Raisinghani, Mahesh S.</t>
  </si>
  <si>
    <t>370.11/3</t>
  </si>
  <si>
    <t>LC1037.D442011</t>
  </si>
  <si>
    <t>9781615207480</t>
  </si>
  <si>
    <t>9781615207473</t>
  </si>
  <si>
    <t>Definitive Readings in the History, Philosophy, Theories and Practice of Career and Technical Education</t>
  </si>
  <si>
    <t>LB1029.S53D47</t>
  </si>
  <si>
    <t>9781466640191</t>
  </si>
  <si>
    <t>9781466640184</t>
  </si>
  <si>
    <t>Design, Utilization, and Analysis of Simulations and Game-Based Educational Worlds</t>
  </si>
  <si>
    <t>Ferdig, Richard E.</t>
  </si>
  <si>
    <t>LB1044.87.D4932011</t>
  </si>
  <si>
    <t>9781616927936</t>
  </si>
  <si>
    <t>9781616927912</t>
  </si>
  <si>
    <t>Developing and Utilizing E-Learning Applications</t>
  </si>
  <si>
    <t>Lazarinis, Fotis</t>
  </si>
  <si>
    <t>370.71'1</t>
  </si>
  <si>
    <t>LB1715.D484</t>
  </si>
  <si>
    <t>9781466600157</t>
  </si>
  <si>
    <t>9781466600140</t>
  </si>
  <si>
    <t>Developing Technology-Rich Teacher Education Programs: Key Issues</t>
  </si>
  <si>
    <t>371.33'7</t>
  </si>
  <si>
    <t>LB1029.G3D49</t>
  </si>
  <si>
    <t>9781466618657</t>
  </si>
  <si>
    <t>9781466618640</t>
  </si>
  <si>
    <t>Developments in Current Game-Based Learning Design and Deployment</t>
  </si>
  <si>
    <t>Felicia, Patrick</t>
  </si>
  <si>
    <t>T65.D47</t>
  </si>
  <si>
    <t>9781466609525</t>
  </si>
  <si>
    <t>9781466609518</t>
  </si>
  <si>
    <t>Developments in Engineering Education Standards: Advanced Curriculum Innovations</t>
  </si>
  <si>
    <t>Rasul, Mohammad</t>
  </si>
  <si>
    <t>370.11'5</t>
  </si>
  <si>
    <t>LC196.D57</t>
    <phoneticPr fontId="3" type="noConversion"/>
  </si>
  <si>
    <t>9781613504963</t>
  </si>
  <si>
    <t>9781613504956</t>
  </si>
  <si>
    <t>Disrupting Pedagogies in the Knowledge Society: Countering Conservative Norms with Creative Approaches</t>
  </si>
  <si>
    <t>Faulkner, Julie</t>
  </si>
  <si>
    <t>LB1044.87.D962011</t>
  </si>
  <si>
    <t>9781609601553</t>
  </si>
  <si>
    <t>9781609601539</t>
  </si>
  <si>
    <t>Dynamic Advancements in Teaching and Learning Based Technologies: New Concepts</t>
  </si>
  <si>
    <t>LB1028.5.E325</t>
  </si>
  <si>
    <t>9781466621114</t>
  </si>
  <si>
    <t>9781466621107</t>
  </si>
  <si>
    <t>Educational Communities of Inquiry: Theoretical Framework, Research, and Practice</t>
  </si>
  <si>
    <t>Akyol, Zehra</t>
  </si>
  <si>
    <t>371.33'4</t>
  </si>
  <si>
    <t>LB1028.5.E336</t>
  </si>
  <si>
    <t>9781466601383</t>
  </si>
  <si>
    <t>9781466601376</t>
  </si>
  <si>
    <t>Educational Stages and Interactive Learning: From Kindergarten to Workplace Training</t>
  </si>
  <si>
    <t>Jia, Jiyou</t>
  </si>
  <si>
    <t>LB1028.3.E4232012</t>
  </si>
  <si>
    <t>9781609607517</t>
  </si>
  <si>
    <t>9781609607500</t>
  </si>
  <si>
    <t>Educational Technology, Teacher Knowledge, and Classroom Impact: A Research Handbook on Frameworks and Approaches</t>
  </si>
  <si>
    <t>Ronau, Robert N.</t>
  </si>
  <si>
    <t>LB1028.5.E19</t>
  </si>
  <si>
    <t>9781605664118</t>
  </si>
  <si>
    <t>9781605664101</t>
  </si>
  <si>
    <t>E-Learning Technologies and Evidence-Based Assessment Approaches</t>
  </si>
  <si>
    <t>Spratt, Christine</t>
  </si>
  <si>
    <t>LB2395.7.E53</t>
  </si>
  <si>
    <t>9781613500699</t>
  </si>
  <si>
    <t>9781613500682</t>
  </si>
  <si>
    <t>Encyclopedia of E-Leadership, Counseling and Training</t>
  </si>
  <si>
    <t>378.1'735</t>
  </si>
  <si>
    <t>LB1043.E54</t>
  </si>
  <si>
    <t>9781466639638</t>
  </si>
  <si>
    <t>9781466639621</t>
  </si>
  <si>
    <t>Enhancing Instruction with Visual Media: Utilizing Video and Lecture Capture</t>
  </si>
  <si>
    <t>Smyth, Ellen G.</t>
  </si>
  <si>
    <t>510.285'5</t>
  </si>
  <si>
    <t>QA20.C65E54</t>
  </si>
  <si>
    <t>9781466640511</t>
  </si>
  <si>
    <t>9781466640504</t>
  </si>
  <si>
    <t>Enhancing Mathematics Understanding through Visualization: The Role of Dynamical Software</t>
  </si>
  <si>
    <t>Habre, Samer</t>
  </si>
  <si>
    <t>371.33'44678</t>
  </si>
  <si>
    <t>LB1044.87.E75</t>
  </si>
  <si>
    <t>9781466636507</t>
  </si>
  <si>
    <t>9781466636491</t>
  </si>
  <si>
    <t>ePedagogy in Online Learning: New Developments in Web Mediated Human Computer Interaction</t>
  </si>
  <si>
    <t>McKay, Elspeth</t>
  </si>
  <si>
    <t>P53.28.E96</t>
  </si>
  <si>
    <t>9781466618565</t>
  </si>
  <si>
    <t>9781466618558</t>
  </si>
  <si>
    <t>Explorations of Language Teaching and Learning with Computational Assistance</t>
  </si>
  <si>
    <t>QA76.9.C64F67</t>
  </si>
  <si>
    <t>9781466629448</t>
  </si>
  <si>
    <t>9781466629431</t>
  </si>
  <si>
    <t>Fostering 21st Century Digital Literacy and Technical Competency</t>
  </si>
  <si>
    <t>371.33'7--dc22</t>
  </si>
  <si>
    <t>LB1029.G3G3552010</t>
  </si>
  <si>
    <t>9781615207145</t>
  </si>
  <si>
    <t>9781615207138</t>
  </si>
  <si>
    <t>Gaming for Classroom-Based Learning: Digital Role Playing as a Motivator of Study</t>
  </si>
  <si>
    <t>LC5800.G54</t>
  </si>
  <si>
    <t>9781466639799</t>
  </si>
  <si>
    <t>9781466639782</t>
  </si>
  <si>
    <t>Global Challenges and Perspectives in Blended and Distance Learning</t>
  </si>
  <si>
    <t>Willems, J.</t>
  </si>
  <si>
    <t>371.3/6</t>
  </si>
  <si>
    <t>R859.7.A78M85</t>
  </si>
  <si>
    <t>9781599049939</t>
  </si>
  <si>
    <t>9781599049922</t>
  </si>
  <si>
    <t>Handbook of Research on Collaborative Learning Using Concept Mapping</t>
  </si>
  <si>
    <t>Torres, Patricia Lupion</t>
  </si>
  <si>
    <t>174'.4071</t>
  </si>
  <si>
    <t>HF5387.H356</t>
  </si>
  <si>
    <t>9781613505113</t>
  </si>
  <si>
    <t>9781613505106</t>
  </si>
  <si>
    <t>Handbook of Research on Teaching Ethics in Business and Management Education</t>
  </si>
  <si>
    <t>Wankel, Charles</t>
  </si>
  <si>
    <t>658.3'124</t>
  </si>
  <si>
    <t>HD58.82.H363</t>
  </si>
  <si>
    <t>9781466621824</t>
  </si>
  <si>
    <t>9781466621817</t>
  </si>
  <si>
    <t>Handbook of Research on Technologies for Improving the 21st Century Workforce: Tools for Lifelong Learning</t>
  </si>
  <si>
    <t>378.1/03</t>
  </si>
  <si>
    <t>B2395.7.H542011</t>
  </si>
  <si>
    <t>9781609606244</t>
  </si>
  <si>
    <t>9781609606237</t>
  </si>
  <si>
    <t>Higher Education, Emerging Technologies, and Community Partnerships: Concepts, Models and Practices</t>
  </si>
  <si>
    <t>Bowdon, Melody A.</t>
  </si>
  <si>
    <t>LB2395.7.I5462012</t>
  </si>
  <si>
    <t>9781613500811</t>
  </si>
  <si>
    <t>9781613500804</t>
  </si>
  <si>
    <t>Informed Design of Educational Technologies in Higher Education: Enhanced Learning and Teaching</t>
  </si>
  <si>
    <t>Olofsson, Anders D.</t>
  </si>
  <si>
    <t>LB1028.3.I525</t>
  </si>
  <si>
    <t>9781466621404</t>
  </si>
  <si>
    <t>9781466621398</t>
  </si>
  <si>
    <t>Innovations in Mobile Educational Technologies and Applications</t>
  </si>
  <si>
    <t>LB1028.38.I5582011</t>
  </si>
  <si>
    <t>9781609605049</t>
  </si>
  <si>
    <t>9781609605032</t>
  </si>
  <si>
    <t>Instructional Design: Concepts, Methodologies, Tools and Applications</t>
  </si>
  <si>
    <t>TK5103.2.I51942010</t>
  </si>
  <si>
    <t>9781605668758</t>
  </si>
  <si>
    <t>9781605668741</t>
  </si>
  <si>
    <t>Interaction in Communication Technologies and Virtual Learning Environments: Human Factors</t>
  </si>
  <si>
    <t>Ragusa, Angela T.</t>
  </si>
  <si>
    <t>378.1'07</t>
  </si>
  <si>
    <t>HD30.2.K626</t>
  </si>
  <si>
    <t>9781466619708</t>
  </si>
  <si>
    <t>9781466619692</t>
  </si>
  <si>
    <t>Knowledge Management Innovations for Interdisciplinary Education: Organizational Applications</t>
  </si>
  <si>
    <t>Buckley, Sheryl Beverley</t>
  </si>
  <si>
    <t>P53.28.L427</t>
  </si>
  <si>
    <t>9781605661674</t>
  </si>
  <si>
    <t>9781605661667</t>
  </si>
  <si>
    <t>Learning Culture and Language through ICTs: Methods for Enhanced Instruction</t>
  </si>
  <si>
    <t>Chang, Maiga</t>
  </si>
  <si>
    <t>LB2395.7.L44</t>
  </si>
  <si>
    <t>9781466639317</t>
  </si>
  <si>
    <t>9781466639300</t>
  </si>
  <si>
    <t>Learning Management Systems and Instructional Design: Metrics, Standards, and Applications</t>
  </si>
  <si>
    <t>Kats, Yefim</t>
  </si>
  <si>
    <t>LB1028.3.L3785</t>
  </si>
  <si>
    <t>9781466620186</t>
  </si>
  <si>
    <t>9781466620179</t>
  </si>
  <si>
    <t>Learning Tools and Teaching Approaches through ICT Advancements</t>
  </si>
  <si>
    <t>LC5803.C65M482012</t>
  </si>
  <si>
    <t>9781613500729</t>
  </si>
  <si>
    <t>9781613500712</t>
  </si>
  <si>
    <t>Meta-Communication for Reflective Online Conversations: Models for Distance Education</t>
  </si>
  <si>
    <t>Demiray, Ugur</t>
  </si>
  <si>
    <t>LB1028.3.M84</t>
    <phoneticPr fontId="3" type="noConversion"/>
  </si>
  <si>
    <t>9781466621022</t>
  </si>
  <si>
    <t>9781466621015</t>
  </si>
  <si>
    <t>Multiculturalism in Technology-Based Education: Case Studies on ICT-Supported Approaches</t>
  </si>
  <si>
    <t>García-Peñalvo, Francisco José</t>
  </si>
  <si>
    <t>Q325.5.H36</t>
  </si>
  <si>
    <t>9781605667041</t>
  </si>
  <si>
    <t>9781605667034</t>
  </si>
  <si>
    <t>Multiplatform E-Learning Systems and Technologies: Mobile Devices for Ubiquitous ICT-Based Education</t>
  </si>
  <si>
    <t>Goh, Tiong T.</t>
  </si>
  <si>
    <t>LB1044.87.M852011</t>
  </si>
  <si>
    <t>9781609605469</t>
  </si>
  <si>
    <t>9781609605452</t>
  </si>
  <si>
    <t>Multi-User Virtual Environments for the Classroom: Practical Approaches to Teaching in Virtual Worlds</t>
  </si>
  <si>
    <t>Vincenti, Giovanni</t>
  </si>
  <si>
    <t>LB1029.G3N46</t>
  </si>
  <si>
    <t>9781466639515</t>
  </si>
  <si>
    <t>9781466639508</t>
  </si>
  <si>
    <t>New Pedagogical Approaches in Game Enhanced Learning: Curriculum Integration</t>
  </si>
  <si>
    <t>Freitas, Sara de</t>
  </si>
  <si>
    <t>371.33/4467822</t>
  </si>
  <si>
    <t>LB1044.87.N672010</t>
  </si>
  <si>
    <t>9781605669397</t>
  </si>
  <si>
    <t>9781605669380</t>
  </si>
  <si>
    <t>Novel Developments in Web-Based Learning Technologies: Tools for Modern Teaching</t>
  </si>
  <si>
    <t>Karacapildis, Nikos</t>
  </si>
  <si>
    <t>371.33</t>
    <phoneticPr fontId="3" type="noConversion"/>
  </si>
  <si>
    <t>LB1028.38</t>
    <phoneticPr fontId="3" type="noConversion"/>
  </si>
  <si>
    <t>9781466628311</t>
  </si>
  <si>
    <t>9781466628304</t>
  </si>
  <si>
    <t>Project Management Approaches for Online Learning Design</t>
  </si>
  <si>
    <t>Eby, Gulsun</t>
  </si>
  <si>
    <t>HM742.S628193</t>
  </si>
  <si>
    <t>9781466628526</t>
  </si>
  <si>
    <t>9781466628519</t>
  </si>
  <si>
    <t>Social Media and the New Academic Environment: Pedagogical Challenges</t>
  </si>
  <si>
    <t>Patrut, Bogdan</t>
  </si>
  <si>
    <t>LB2395.7.S635</t>
  </si>
  <si>
    <t>9781466629714</t>
  </si>
  <si>
    <t>9781466629707</t>
  </si>
  <si>
    <t>Social Media in Higher Education: Teaching in Web 2.0</t>
  </si>
  <si>
    <t>Patrut, Monica</t>
  </si>
  <si>
    <t>306.3'6--dc22</t>
  </si>
  <si>
    <t>HF5549.5.T7R3732010</t>
  </si>
  <si>
    <t>9781615208364</t>
  </si>
  <si>
    <t>9781615208357</t>
  </si>
  <si>
    <t>Socio-Cultural Impacts of Workplace E-Learning: Epistemology, Ontology and Pedagogy</t>
  </si>
  <si>
    <t>Remtulla, Karim A.</t>
  </si>
  <si>
    <t xml:space="preserve">LB1044.87.S8482011
</t>
  </si>
  <si>
    <t>9781609606169</t>
  </si>
  <si>
    <t>9781609606152</t>
  </si>
  <si>
    <t>Student Satisfaction and Learning Outcomes in E-Learning: An Introduction to Empirical Research</t>
  </si>
  <si>
    <t>Eom, Sean B.</t>
  </si>
  <si>
    <t>LB1044.87.S849</t>
  </si>
  <si>
    <t>9781466619883</t>
  </si>
  <si>
    <t>9781466619876</t>
  </si>
  <si>
    <t>Student Usability in Educational Software and Games: Improving Experiences</t>
  </si>
  <si>
    <t>Gonzalez, Carina</t>
  </si>
  <si>
    <t>371.35'8-</t>
  </si>
  <si>
    <t>LC5803.C65S97</t>
  </si>
  <si>
    <t>9781466620339</t>
  </si>
  <si>
    <t>9781466620322</t>
  </si>
  <si>
    <t>System and Technology Advancements in Distance Learning</t>
  </si>
  <si>
    <t>Kumar, Vive (k)</t>
  </si>
  <si>
    <t>LB1715.T4236</t>
  </si>
  <si>
    <t>9781466619074</t>
  </si>
  <si>
    <t>9781466619067</t>
  </si>
  <si>
    <t>Teacher Education Programs and Online Learning Tools: Innovations in Teacher Preparation</t>
  </si>
  <si>
    <t>Hartshorne, Richard</t>
  </si>
  <si>
    <t>510.78'54678</t>
  </si>
  <si>
    <t>QA20.C65T434</t>
  </si>
  <si>
    <t>9781609608767</t>
  </si>
  <si>
    <t>9781609608750</t>
  </si>
  <si>
    <t>Teaching Mathematics Online: Emergent Technologies and Methodologies</t>
  </si>
  <si>
    <t>Juan, Angel A.</t>
  </si>
  <si>
    <t>LB1028.3.T3857</t>
  </si>
  <si>
    <t>9781613503485</t>
  </si>
  <si>
    <t>9781613503478</t>
  </si>
  <si>
    <t>Teaching, Learning, and the Net Generation: Concepts and Tools for Reaching Digital Learners</t>
  </si>
  <si>
    <t>Ferris, Sharmila Pixy</t>
  </si>
  <si>
    <t>374'.26</t>
  </si>
  <si>
    <t>LC5225.D38T43</t>
  </si>
  <si>
    <t>9781466620636</t>
  </si>
  <si>
    <t>9781466620629</t>
  </si>
  <si>
    <t>Technological Applications in Adult and Vocational Education Advancement</t>
  </si>
  <si>
    <t>LB1576.T436</t>
  </si>
  <si>
    <t>9781466639751</t>
  </si>
  <si>
    <t>9781466639744</t>
  </si>
  <si>
    <t>Technological Tools for the Literacy Classroom</t>
  </si>
  <si>
    <t>Whittingham, Jeff</t>
  </si>
  <si>
    <t>LC1201.T46</t>
  </si>
  <si>
    <t>9781466625310</t>
  </si>
  <si>
    <t>9781466625303</t>
  </si>
  <si>
    <t>Technologies for Inclusive Education: Beyond Traditional Integration Approaches</t>
  </si>
  <si>
    <t>Barres, David Griol</t>
  </si>
  <si>
    <t>LB1028.3.T396635</t>
  </si>
  <si>
    <t>9781466624689</t>
  </si>
  <si>
    <t>9781466624672</t>
  </si>
  <si>
    <t>Technologies, Innovation, and Change in Personal and Virtual Learning Environments</t>
  </si>
  <si>
    <t>LB1028.3.T3966432012</t>
  </si>
  <si>
    <t>9781613500606</t>
  </si>
  <si>
    <t>9781613500590</t>
  </si>
  <si>
    <t>Technology and Young Children: Bridging the Communication-Generation Gap</t>
  </si>
  <si>
    <t>LB1028.26.T43</t>
  </si>
  <si>
    <t>9781466629561</t>
  </si>
  <si>
    <t>9781466629554</t>
  </si>
  <si>
    <t>Technology Use and Research Approaches for Community Education and Professional Development</t>
  </si>
  <si>
    <t>Bryan, Valerie Carson</t>
  </si>
  <si>
    <t>401'.93</t>
  </si>
  <si>
    <t>P241.T53</t>
  </si>
  <si>
    <t>9781466629745</t>
  </si>
  <si>
    <t>9781466629738</t>
  </si>
  <si>
    <t>Theoretical and Computational Models of Word Learning: Trends in Psychology and Artificial Intelligence</t>
  </si>
  <si>
    <t>Gogate, Lakshmi</t>
  </si>
  <si>
    <t>LB1028.5.T625</t>
  </si>
  <si>
    <t>9781466620155</t>
  </si>
  <si>
    <t>9781466620148</t>
  </si>
  <si>
    <t>Transcultural Blended Learning and Teaching in Postsecondary Education</t>
  </si>
  <si>
    <t>Francois, Emmanuel Jean</t>
  </si>
  <si>
    <t>LB1731.4.V57</t>
  </si>
  <si>
    <t>9781466619647</t>
  </si>
  <si>
    <t>9781466619630</t>
  </si>
  <si>
    <t>Virtual Mentoring for Teachers: Online Professional Development Practices</t>
  </si>
  <si>
    <t>LB1025.3.W39</t>
  </si>
  <si>
    <t>9781466620247</t>
  </si>
  <si>
    <t>9781466620230</t>
  </si>
  <si>
    <t>Web-Based and Blended Educational Tools and Innovations</t>
  </si>
  <si>
    <t>Karacapilidis, Nikos</t>
  </si>
  <si>
    <t>HD6054.W662010</t>
  </si>
  <si>
    <t>9781615206582</t>
  </si>
  <si>
    <t>9781615206575</t>
  </si>
  <si>
    <t>Women in Engineering, Science and Technology: Education and Career Challenges</t>
  </si>
  <si>
    <t xml:space="preserve">Educational Technologies </t>
  </si>
  <si>
    <t>Q182.6.O88</t>
  </si>
  <si>
    <t>9781466618107</t>
  </si>
  <si>
    <t>9781466618091</t>
  </si>
  <si>
    <t>Outcome-Based Science, Technology, Engineering, and Mathematics Education: Innovative Practices</t>
  </si>
  <si>
    <t>Yusof, Khairiyah Mohd</t>
  </si>
  <si>
    <t>006.8</t>
    <phoneticPr fontId="3" type="noConversion"/>
  </si>
  <si>
    <t>T58.5.A36</t>
  </si>
  <si>
    <t>9781466620544</t>
  </si>
  <si>
    <t>9781466620537</t>
  </si>
  <si>
    <t>Adoption of Virtual Technologies for Business, Educational, and Governmental Advancements</t>
  </si>
  <si>
    <t> 658.4'038095</t>
  </si>
  <si>
    <t>HD70.A7B87</t>
  </si>
  <si>
    <t>9781466626836</t>
  </si>
  <si>
    <t>9781466626522</t>
  </si>
  <si>
    <t>Business, Technology, and Knowledge Management in Asia: Trends and Innovations</t>
  </si>
  <si>
    <t>JF1525.A8C366</t>
  </si>
  <si>
    <t>9781466620728</t>
  </si>
  <si>
    <t>9781466620711</t>
  </si>
  <si>
    <t>Cases on Progressions and Challenges in ICT Utilization for Citizen-Centric Governance</t>
  </si>
  <si>
    <t>HC79.E5C3744</t>
  </si>
  <si>
    <t>9781466628434</t>
  </si>
  <si>
    <t>9781466628427</t>
  </si>
  <si>
    <t>Cases on the Diffusion and Adoption of Sustainable Development Practices</t>
  </si>
  <si>
    <t>Muga, Helen E.</t>
  </si>
  <si>
    <t>352.3/802854678</t>
    <phoneticPr fontId="3" type="noConversion"/>
  </si>
  <si>
    <t>JF1525.A8</t>
    <phoneticPr fontId="3" type="noConversion"/>
  </si>
  <si>
    <t>9781466603196</t>
  </si>
  <si>
    <t>9781466603189</t>
  </si>
  <si>
    <t>Citizen 2.0: Public and Governmental Interaction through Web 2.0 Technologies</t>
  </si>
  <si>
    <t>Kloby, Kathryn</t>
  </si>
  <si>
    <t>HD4431.C482012</t>
  </si>
  <si>
    <t>9781613501757</t>
  </si>
  <si>
    <t>9781613501740</t>
  </si>
  <si>
    <t>City Competitiveness and Improving Urban Subsystems: Technologies and Applications</t>
  </si>
  <si>
    <t>Bulu, Melih</t>
  </si>
  <si>
    <t>HM861.C74</t>
  </si>
  <si>
    <t>9781466636149</t>
  </si>
  <si>
    <t>9781466636132</t>
  </si>
  <si>
    <t>Creating a Sustainable Ecology Using Technology-Driven Solutions</t>
  </si>
  <si>
    <t>HD2755.5.C846</t>
  </si>
  <si>
    <t>9781466639676</t>
  </si>
  <si>
    <t>9781466639669</t>
  </si>
  <si>
    <t>Cultural and Technological Influences on Global Business</t>
  </si>
  <si>
    <t>9781613500842</t>
  </si>
  <si>
    <t>9781613500835</t>
  </si>
  <si>
    <t>E-Governance and Civic Engagement: Factors and Determinants of E-Democracy</t>
  </si>
  <si>
    <t>JF1525.A8E2385</t>
  </si>
  <si>
    <t>9781466624597</t>
  </si>
  <si>
    <t>9781466624580</t>
  </si>
  <si>
    <t>E-Government Services Design, Adoption, and Evaluation</t>
  </si>
  <si>
    <t>Weerakkody, Vishanth</t>
  </si>
  <si>
    <t>G70.212.G4254</t>
  </si>
  <si>
    <t>9781466619258</t>
  </si>
  <si>
    <t>9781466619241</t>
  </si>
  <si>
    <t>Geographic Information Analysis for Sustainable Development and Economic Planning: New Technologies</t>
  </si>
  <si>
    <t>Borruso, Giuseppe</t>
  </si>
  <si>
    <t>G70.212.G4257</t>
  </si>
  <si>
    <t>9781466620391</t>
  </si>
  <si>
    <t>9781466620384</t>
  </si>
  <si>
    <t>Geographic Information Systems: Concepts, Methodologies, Tools, and Applications</t>
  </si>
  <si>
    <t xml:space="preserve">Information Resources Management Association </t>
  </si>
  <si>
    <t>HD30.2.G573</t>
  </si>
  <si>
    <t>9781466621435</t>
  </si>
  <si>
    <t>9781466621428</t>
  </si>
  <si>
    <t>Global Diffusion and Adoption of Technologies for Knowledge and Information Sharing</t>
  </si>
  <si>
    <t>Tan, Felix B.</t>
  </si>
  <si>
    <t>658.4'083</t>
  </si>
  <si>
    <t>HC79.E5G69167</t>
  </si>
  <si>
    <t>9781466619739</t>
  </si>
  <si>
    <t>9781466619722</t>
  </si>
  <si>
    <t>Green Technologies and Business Practices: An IT Approach</t>
  </si>
  <si>
    <t>JF1525.A8H86</t>
  </si>
  <si>
    <t>9781466636415</t>
  </si>
  <si>
    <t>9781466636408</t>
  </si>
  <si>
    <t>Human-Centered System Design for Electronic Governance</t>
  </si>
  <si>
    <t>JF1525.A8B76</t>
  </si>
  <si>
    <t>9781466630048</t>
  </si>
  <si>
    <t>9781466630031</t>
  </si>
  <si>
    <t>Public Information Management and E-Government: Policy and Issues</t>
  </si>
  <si>
    <t>Brown, Mary Maureen</t>
  </si>
  <si>
    <t>HC79.E5S86887</t>
  </si>
  <si>
    <t>9781466640993</t>
  </si>
  <si>
    <t>9781466640986</t>
  </si>
  <si>
    <t>Sustainable Technologies, Policies, and Constraints in the Green Economy</t>
  </si>
  <si>
    <t>Jean-Vasile, Andrei</t>
  </si>
  <si>
    <t>303.48/3</t>
    <phoneticPr fontId="3" type="noConversion"/>
  </si>
  <si>
    <t>HC79.T4</t>
    <phoneticPr fontId="3" type="noConversion"/>
  </si>
  <si>
    <t>9781466627925</t>
  </si>
  <si>
    <t>9781466627918</t>
  </si>
  <si>
    <t>Technology Diffusion and Adoption: Global Complexity, Global Innovation</t>
  </si>
  <si>
    <t>Zolait, Ali Hussein</t>
  </si>
  <si>
    <t>TJ163.12.A38</t>
  </si>
  <si>
    <t>9781466636354</t>
  </si>
  <si>
    <t>9781466636347</t>
  </si>
  <si>
    <t>Advanced Engineering and Computational Methodologies for Intelligent Mechatronics and Robotics</t>
  </si>
  <si>
    <t>Sirouspour, Shahin</t>
  </si>
  <si>
    <t>006.3'2</t>
  </si>
  <si>
    <t>QA76.87.A698</t>
  </si>
  <si>
    <t>9781466621763</t>
  </si>
  <si>
    <t>9781466621756</t>
  </si>
  <si>
    <t>Artificial Higher Order Neural Networks for Modeling and Simulation</t>
  </si>
  <si>
    <t>Zhang, Ming</t>
  </si>
  <si>
    <t>006.3/33</t>
  </si>
  <si>
    <t>Q336.A77</t>
  </si>
  <si>
    <t>9781599047072</t>
  </si>
  <si>
    <t>9781599047058</t>
  </si>
  <si>
    <t>Artificial Intelligence for Advanced Problem Solving Techniques</t>
  </si>
  <si>
    <t>Vlahavas, Ioannis</t>
  </si>
  <si>
    <t>QA76.87.C662</t>
  </si>
  <si>
    <t>9781466624771</t>
  </si>
  <si>
    <t>9781466624764</t>
  </si>
  <si>
    <t>Cognitive Informatics for Revealing Human Cognition: Knowledge Manipulations in Natural Intelligence</t>
  </si>
  <si>
    <t>003'.3633</t>
  </si>
  <si>
    <t>QA9.64.C667</t>
  </si>
  <si>
    <t>9781466618718</t>
  </si>
  <si>
    <t>9781466618701</t>
  </si>
  <si>
    <t>Contemporary Theory and Pragmatic Approaches in Fuzzy Computing Utilization</t>
  </si>
  <si>
    <t>Chen, Toly</t>
  </si>
  <si>
    <t>Q325.5.D53</t>
  </si>
  <si>
    <t>9781466619012</t>
  </si>
  <si>
    <t>9781466619005</t>
  </si>
  <si>
    <t>Diagnostic Test Approaches to Machine Learning and Commonsense Reasoning Systems</t>
  </si>
  <si>
    <t>Naidenova, Xenia</t>
  </si>
  <si>
    <t>TA1634.G763</t>
  </si>
  <si>
    <t>9781466618923</t>
  </si>
  <si>
    <t>9781466618916</t>
  </si>
  <si>
    <t>Graph-Based Methods in Computer Vision: Developments and Applications</t>
  </si>
  <si>
    <t>Bai, Xiao</t>
  </si>
  <si>
    <t>681'.25</t>
  </si>
  <si>
    <t>TK7882.P7H86</t>
  </si>
  <si>
    <t>9781466636835</t>
  </si>
  <si>
    <t>9781466636828</t>
  </si>
  <si>
    <t>Human Behavior Recognition Technologies: Intelligent Applications for Monitoring and Security</t>
  </si>
  <si>
    <t>Guesgen, Hans W.</t>
  </si>
  <si>
    <t>621.36'7</t>
  </si>
  <si>
    <t>TA1637.I476</t>
  </si>
  <si>
    <t>9781466639591</t>
  </si>
  <si>
    <t>9781466639584</t>
  </si>
  <si>
    <t>Intelligent Image and Video Interpretation: Algorithms and Applications</t>
  </si>
  <si>
    <t>Tian, Jing</t>
  </si>
  <si>
    <t>629.8'932028563</t>
  </si>
  <si>
    <t>TJ211.T596</t>
  </si>
  <si>
    <t>9781466620759</t>
  </si>
  <si>
    <t>9781466620742</t>
  </si>
  <si>
    <t>Intelligent Planning for Mobile Robotics: Algorithmic Approaches</t>
  </si>
  <si>
    <t>Tiwari, Ritu</t>
  </si>
  <si>
    <t>621.382'7</t>
  </si>
  <si>
    <t>TK5103.59.I5323</t>
  </si>
  <si>
    <t>9781466636538</t>
  </si>
  <si>
    <t>9781466636521</t>
  </si>
  <si>
    <t>Intelligent Systems for Optical Networks Design: Advancing Techniques</t>
  </si>
  <si>
    <t>006.3</t>
    <phoneticPr fontId="3" type="noConversion"/>
  </si>
  <si>
    <t>T57.84.M48</t>
  </si>
  <si>
    <t>9781466620872</t>
  </si>
  <si>
    <t>9781466620865</t>
  </si>
  <si>
    <t>Meta-Heuristics Optimization Algorithms in Engineering, Business, Economics, and Finance</t>
  </si>
  <si>
    <t>006.4</t>
    <phoneticPr fontId="3" type="noConversion"/>
  </si>
  <si>
    <t>TK7882.B56G385</t>
  </si>
  <si>
    <t>9781466636477</t>
  </si>
  <si>
    <t>9781466636460</t>
  </si>
  <si>
    <t>Multimodal Biometrics and Intelligent Image Processing for Security Systems</t>
  </si>
  <si>
    <t>Gavrilova, Marina L.</t>
  </si>
  <si>
    <t>519.6--dc22</t>
  </si>
  <si>
    <t>QC20.7.M27P372010</t>
  </si>
  <si>
    <t>9781615206674</t>
  </si>
  <si>
    <t>9781615206667</t>
  </si>
  <si>
    <t>Particle Swarm Optimization and Intelligence: Advances and Applications</t>
  </si>
  <si>
    <t>Parsopoulos, Konstantinos E.</t>
  </si>
  <si>
    <t>Q327.P383</t>
  </si>
  <si>
    <t>9781599048093</t>
  </si>
  <si>
    <t>9781599048079</t>
  </si>
  <si>
    <t>Pattern Recognition Technologies and Applications: Recent Advances</t>
  </si>
  <si>
    <t>Verma, Brijesh</t>
  </si>
  <si>
    <t>Q337.3.R43</t>
  </si>
  <si>
    <t>9781466624801</t>
  </si>
  <si>
    <t>9781466624795</t>
  </si>
  <si>
    <t>Recent Algorithms and Applications in Swarm Intelligence Research</t>
  </si>
  <si>
    <t>629.8'92637</t>
  </si>
  <si>
    <t>TA1634.R63</t>
  </si>
  <si>
    <t>9781466627031</t>
  </si>
  <si>
    <t>9781466626720</t>
  </si>
  <si>
    <t>Robotic Vision: Technologies for Machine Learning and Vision Applications</t>
  </si>
  <si>
    <t>Garcia-Rodriguez, Jose</t>
  </si>
  <si>
    <t>629.8'932</t>
  </si>
  <si>
    <t>TJ211.415.F474</t>
  </si>
  <si>
    <t>9781466621053</t>
  </si>
  <si>
    <t>9781466621046</t>
  </si>
  <si>
    <t>Simultaneous Localization and Mapping for Mobile Robots: Introduction and Methods</t>
  </si>
  <si>
    <t>Fernández-Madrigal, Juan-Antonio</t>
  </si>
  <si>
    <t>QA76.167.T4852010</t>
  </si>
  <si>
    <t>9781616920159</t>
  </si>
  <si>
    <t>9781616920142</t>
  </si>
  <si>
    <t>Thinking Machines and the Philosophy of Computer Science: Concepts and Principles</t>
  </si>
  <si>
    <t>001.4'2</t>
  </si>
  <si>
    <t>Q224.A34</t>
  </si>
  <si>
    <t>9781466639195</t>
  </si>
  <si>
    <t>9781466639188</t>
  </si>
  <si>
    <t>Advancing Research Methods with New Technologies</t>
  </si>
  <si>
    <t>Sappleton, Natalie</t>
  </si>
  <si>
    <t>501'.17</t>
  </si>
  <si>
    <t>Q325.K647</t>
  </si>
  <si>
    <t>9781466622036</t>
  </si>
  <si>
    <t>9781466622029</t>
  </si>
  <si>
    <t>Boundedness and Self-Organized Semantics: Theory and Applications</t>
  </si>
  <si>
    <t>Koleva, Maria K.</t>
  </si>
  <si>
    <t>004</t>
    <phoneticPr fontId="3" type="noConversion"/>
  </si>
  <si>
    <t>T58.5.C378</t>
  </si>
  <si>
    <t>9781466636200</t>
  </si>
  <si>
    <t>9781466636194</t>
  </si>
  <si>
    <t>Cases on Emerging Information Technology Research and Applications</t>
  </si>
  <si>
    <t>025.04'2</t>
  </si>
  <si>
    <t>ZA4080.D475</t>
  </si>
  <si>
    <t>9781466625013</t>
  </si>
  <si>
    <t>9781466625006</t>
  </si>
  <si>
    <t>Design, Development, and Management of Resources for Digital Library Services</t>
  </si>
  <si>
    <t>Ashraf, Tariq</t>
  </si>
  <si>
    <t>346.04'84</t>
  </si>
  <si>
    <t>K1447.95.D525</t>
  </si>
  <si>
    <t>9781466621374</t>
  </si>
  <si>
    <t>9781466621367</t>
  </si>
  <si>
    <t>Digital Rights Management: Concepts, Methodologies, Tools, and Applications</t>
  </si>
  <si>
    <t>Information Resources Management Association</t>
  </si>
  <si>
    <t>HD30.2.D953</t>
  </si>
  <si>
    <t>9781466624863</t>
  </si>
  <si>
    <t>9781466624856</t>
  </si>
  <si>
    <t>Dynamic Models for Knowledge-Driven Organizations</t>
  </si>
  <si>
    <t>658.4/012</t>
  </si>
  <si>
    <t>HD30.2.I4852011</t>
  </si>
  <si>
    <t>9781609601317</t>
  </si>
  <si>
    <t>9781609601294</t>
  </si>
  <si>
    <t>Implementing New Business Models in For-Profit and Non-Profit Organizations: Technologies and Applications</t>
  </si>
  <si>
    <t>Chen, Te Fu</t>
  </si>
  <si>
    <t>QA76.9.D343I5462013</t>
  </si>
  <si>
    <t>9781466638990</t>
  </si>
  <si>
    <t>9781466638983</t>
  </si>
  <si>
    <t>Information Retrieval Methods for Multidisciplinary Applications</t>
  </si>
  <si>
    <t>HD53.I5776</t>
  </si>
  <si>
    <t>9781466636569</t>
  </si>
  <si>
    <t>9781466636552</t>
  </si>
  <si>
    <t>Intellectual Capital Strategy Management for Knowledge-Based Organizations</t>
  </si>
  <si>
    <t>658.4'032</t>
  </si>
  <si>
    <t>HD30.23.M362</t>
  </si>
  <si>
    <t>9781466624740</t>
  </si>
  <si>
    <t>9781466624733</t>
  </si>
  <si>
    <t>Management Theories and Strategic Practices for Decision Making</t>
  </si>
  <si>
    <t>006.3'3</t>
  </si>
  <si>
    <t>QA76.76.E95O584</t>
  </si>
  <si>
    <t>9781466619944</t>
  </si>
  <si>
    <t>9781466619937</t>
  </si>
  <si>
    <t>Ontology-Based Applications for Enterprise Systems and Knowledge Management</t>
  </si>
  <si>
    <t>Ahmad, Mohammad Nazir</t>
  </si>
  <si>
    <t>025.042</t>
    <phoneticPr fontId="3" type="noConversion"/>
  </si>
  <si>
    <t>ZA4080.R43</t>
  </si>
  <si>
    <t>9781466629929</t>
  </si>
  <si>
    <t>9781466629912</t>
  </si>
  <si>
    <t>Recent Developments in the Design, Construction, and Evaluation of Digital Libraries: Case Studies</t>
  </si>
  <si>
    <t>Cool, Colleen</t>
  </si>
  <si>
    <t>025.1'977</t>
  </si>
  <si>
    <t>Z675.U5R615</t>
  </si>
  <si>
    <t>9781466639393</t>
  </si>
  <si>
    <t>9781466639386</t>
  </si>
  <si>
    <t>Robots in Academic Libraries: Advancements in Library Automation</t>
  </si>
  <si>
    <t>Iglesias, Edward</t>
  </si>
  <si>
    <t>658.5/14</t>
    <phoneticPr fontId="3" type="noConversion"/>
  </si>
  <si>
    <t>HC79.I55</t>
    <phoneticPr fontId="3" type="noConversion"/>
  </si>
  <si>
    <t>9781466627833</t>
  </si>
  <si>
    <t>9781466627826</t>
  </si>
  <si>
    <t>Strategic Adoption of Technological Innovations</t>
  </si>
  <si>
    <t>Howard, Caroline</t>
  </si>
  <si>
    <t>QH324.2.B54734</t>
  </si>
  <si>
    <t>9781466636057</t>
  </si>
  <si>
    <t>9781466636040</t>
  </si>
  <si>
    <t>Bioinformatics: Concepts, Methodologies, Tools, and Applications</t>
  </si>
  <si>
    <t>QP360.5.B56</t>
  </si>
  <si>
    <t>9781466621145</t>
  </si>
  <si>
    <t>9781466621138</t>
  </si>
  <si>
    <t>Biomedical Engineering and Cognitive Neuroscience for Healthcare: Interdisciplinary Applications</t>
  </si>
  <si>
    <t>R853.O87C37</t>
  </si>
  <si>
    <t>9781615207244</t>
  </si>
  <si>
    <t>9781615207237</t>
  </si>
  <si>
    <t>Cases on Health Outcomes and Clinical Data Mining: Studies and Frameworks</t>
  </si>
  <si>
    <t>R858.C37</t>
  </si>
  <si>
    <t>9781466627024</t>
  </si>
  <si>
    <t>9781466626713</t>
  </si>
  <si>
    <t>Cases on Healthcare Information Technology for Patient Care Management</t>
  </si>
  <si>
    <t>Sarnikar, Surendra</t>
  </si>
  <si>
    <t>W26.5</t>
  </si>
  <si>
    <t>9781466627956</t>
  </si>
  <si>
    <t>9781466627949</t>
  </si>
  <si>
    <t>Digital Advances in Medicine, E-Health, and Communication Technologies</t>
  </si>
  <si>
    <t>174/.957</t>
  </si>
  <si>
    <t>QH438.7.G46152011</t>
  </si>
  <si>
    <t>9781616928858</t>
  </si>
  <si>
    <t>9781616928834</t>
  </si>
  <si>
    <t>Genomics and Bioethics: Interdisciplinary Perspectives, Technologies and Advancements</t>
  </si>
  <si>
    <t>Hongladarom, Soraj</t>
  </si>
  <si>
    <t>R857.O6.H367</t>
  </si>
  <si>
    <t>9781605663159</t>
  </si>
  <si>
    <t>9781605663142</t>
  </si>
  <si>
    <t>Handbook of Research on Advanced Techniques in Diagnostic Imaging and Biomedical Applications</t>
  </si>
  <si>
    <t>Exarchos, Themis P.</t>
  </si>
  <si>
    <t>W26.55.I4</t>
  </si>
  <si>
    <t>9781466627987</t>
  </si>
  <si>
    <t>9781466627970</t>
  </si>
  <si>
    <t>Healthcare Information Technology Innovation and Sustainability: Frontiers and Adoption</t>
  </si>
  <si>
    <t>R858.H8652011</t>
  </si>
  <si>
    <t>9781609601799</t>
  </si>
  <si>
    <t>9781609601775</t>
  </si>
  <si>
    <t>Human-Centered Design of E-Health Technologies: Concepts, Methods and Applications</t>
  </si>
  <si>
    <t>Ziefle, Martina</t>
  </si>
  <si>
    <t>616.07/548</t>
  </si>
  <si>
    <t>RC78.7.N83.C53</t>
  </si>
  <si>
    <t>9781605662039</t>
  </si>
  <si>
    <t>9781605662022</t>
  </si>
  <si>
    <t>Improved Signal and Image Interpolation in Biomedical Applications: The Case of Magnetic Resonance Imaging (MRI)</t>
  </si>
  <si>
    <t>Ciulla, Carlo</t>
  </si>
  <si>
    <t>R858.I5367</t>
  </si>
  <si>
    <t>9781466636682</t>
  </si>
  <si>
    <t>9781466636675</t>
  </si>
  <si>
    <t>Information Systems and Technologies for Enhancing Health and Social Care</t>
  </si>
  <si>
    <t>Martinho, Ricardo</t>
  </si>
  <si>
    <t>006.3/722</t>
  </si>
  <si>
    <t>TA1634.M3153</t>
  </si>
  <si>
    <t>9781605669014</t>
  </si>
  <si>
    <t>9781605669007</t>
  </si>
  <si>
    <t>Machine Learning for Human Motion Analysis: Theory and Practice</t>
  </si>
  <si>
    <t>Wang, Liang</t>
  </si>
  <si>
    <t>616.1/207547</t>
  </si>
  <si>
    <t>RC683.5.A45.T33</t>
  </si>
  <si>
    <t>9781605660813</t>
  </si>
  <si>
    <t>9781605660806</t>
  </si>
  <si>
    <t>Ubiquitous Cardiology: Emerging Wireless Telemedical Applications</t>
  </si>
  <si>
    <t>Augustyniak, Piotr</t>
  </si>
  <si>
    <t>TK7895.E42A36</t>
  </si>
  <si>
    <t>9781466627772</t>
  </si>
  <si>
    <t>9781466627765</t>
  </si>
  <si>
    <t>Adoption and Optimization of Embedded and Real-Time Communication Systems</t>
  </si>
  <si>
    <t>006.2'45</t>
  </si>
  <si>
    <t>TK6570.I34A38</t>
  </si>
  <si>
    <t>9781466620810</t>
  </si>
  <si>
    <t>9781466620803</t>
  </si>
  <si>
    <t>Advanced RFID Systems, Security, and Applications</t>
  </si>
  <si>
    <t>TK5103.2.A385</t>
  </si>
  <si>
    <t>9781466621558</t>
  </si>
  <si>
    <t>9781466621541</t>
  </si>
  <si>
    <t>Advancements and Innovations in Wireless Communications and Network Technologies</t>
  </si>
  <si>
    <t>TK5105.88815.A528</t>
  </si>
  <si>
    <t>9781466624955</t>
  </si>
  <si>
    <t>9781466624948</t>
  </si>
  <si>
    <t>Advancing Information Management through Semantic Web Concepts and Ontologies</t>
  </si>
  <si>
    <t xml:space="preserve">Pablos, Patricia Ordóñez de </t>
  </si>
  <si>
    <t>025.042'7</t>
  </si>
  <si>
    <t>TK5105.88815.C3637</t>
  </si>
  <si>
    <t>9781466628281</t>
  </si>
  <si>
    <t>9781466628274</t>
  </si>
  <si>
    <t>Cases on Open-Linked Data and Semantic Web Applications</t>
  </si>
  <si>
    <t>621.382'1</t>
  </si>
  <si>
    <t>TK5103.4815.C46</t>
  </si>
  <si>
    <t>9781466620063</t>
  </si>
  <si>
    <t>9781466620056</t>
  </si>
  <si>
    <t>Cognitive Radio and Interference Management: Technology and Strategy</t>
  </si>
  <si>
    <t>Ku, Meng-Lin</t>
  </si>
  <si>
    <t>TE228.3.C6515</t>
  </si>
  <si>
    <t>9781466629776</t>
  </si>
  <si>
    <t>9781466629769</t>
  </si>
  <si>
    <t>Communication in Transportation Systems</t>
  </si>
  <si>
    <t>Strobel, Otto</t>
  </si>
  <si>
    <t>621.39'81</t>
  </si>
  <si>
    <t>TK5105.15.C656</t>
  </si>
  <si>
    <t>9781466621640</t>
  </si>
  <si>
    <t>9781466621633</t>
  </si>
  <si>
    <t>Contemporary Challenges and Solutions for Mobile and Multimedia Technologies</t>
  </si>
  <si>
    <t>GV1469.34.S52D472011</t>
  </si>
  <si>
    <t>9781609601225</t>
  </si>
  <si>
    <t>9781609601201</t>
  </si>
  <si>
    <t>Designing Games for Ethics: Models, Techniques and Frameworks</t>
  </si>
  <si>
    <t>776</t>
  </si>
  <si>
    <t>NX180.I57D54</t>
  </si>
  <si>
    <t>9781466629622</t>
  </si>
  <si>
    <t>9781466629615</t>
  </si>
  <si>
    <t>Digital Media and Technologies for Virtual Artistic Spaces</t>
  </si>
  <si>
    <t>Harrison, Dew</t>
  </si>
  <si>
    <t>006.6</t>
    <phoneticPr fontId="3" type="noConversion"/>
  </si>
  <si>
    <t>TA1637.I43735</t>
  </si>
  <si>
    <t>9781466639959</t>
  </si>
  <si>
    <t>9781466639942</t>
  </si>
  <si>
    <t>Image Processing: Concepts, Methodologies, Tools, and Applications</t>
  </si>
  <si>
    <t>TA1634.I574</t>
  </si>
  <si>
    <t>9781466639072</t>
  </si>
  <si>
    <t>9781466639065</t>
  </si>
  <si>
    <t>Intelligent Computer Vision and Image Processing: Innovation, Application, and Design</t>
  </si>
  <si>
    <t>TK5105.15I545</t>
  </si>
  <si>
    <t>9781466628342</t>
  </si>
  <si>
    <t>9781466628335</t>
  </si>
  <si>
    <t>Intelligent Multimedia Technologies for Networking Applications: Techniques and Tools</t>
  </si>
  <si>
    <t>Kanellopoulos, Dimitris N.</t>
  </si>
  <si>
    <t>TJ211.415.M59</t>
  </si>
  <si>
    <t>9781466626898</t>
  </si>
  <si>
    <t>9781466626584</t>
  </si>
  <si>
    <t>Mobile Ad Hoc Robots and Wireless Robotic Systems: Design and Implementation</t>
  </si>
  <si>
    <t>004.165</t>
    <phoneticPr fontId="3" type="noConversion"/>
  </si>
  <si>
    <t>QA76.59</t>
    <phoneticPr fontId="3" type="noConversion"/>
  </si>
  <si>
    <t>9781466627864</t>
  </si>
  <si>
    <t>9781466627857</t>
  </si>
  <si>
    <t>Mobile and Handheld Computing Solutions for Organizations and End-Users</t>
  </si>
  <si>
    <t>620.00285'678</t>
  </si>
  <si>
    <t>TA168.M63</t>
  </si>
  <si>
    <t>9781466624719</t>
  </si>
  <si>
    <t>9781466624702</t>
  </si>
  <si>
    <t>Mobile and Web Innovations in Systems and Service-Oriented Engineering</t>
  </si>
  <si>
    <t>384.5/3091724</t>
  </si>
  <si>
    <t>HE8635.M662011</t>
  </si>
  <si>
    <t>9781616928209</t>
  </si>
  <si>
    <t>9781616928186</t>
  </si>
  <si>
    <t>Mobile Information Communication Technologies Adoption in Developing Countries: Effects and Implications</t>
  </si>
  <si>
    <t>Abdel-Wahab, Ahmed Gad</t>
  </si>
  <si>
    <t>HC79.I55M63</t>
  </si>
  <si>
    <t>9781466626850</t>
  </si>
  <si>
    <t>9781466626546</t>
  </si>
  <si>
    <t>Mobile Opportunities and Applications for E-Service Innovations</t>
  </si>
  <si>
    <t>QA76.575.M7926</t>
  </si>
  <si>
    <t>9781466629417</t>
  </si>
  <si>
    <t>9781466629400</t>
  </si>
  <si>
    <t>Multimedia Data Engineering Applications and Processing</t>
  </si>
  <si>
    <t>QA76.575.M83295</t>
  </si>
  <si>
    <t>9781466622180</t>
  </si>
  <si>
    <t>9781466622173</t>
  </si>
  <si>
    <t>Multimedia Information Hiding Technologies and Methodologies for Controlling Data</t>
  </si>
  <si>
    <t>Kondo, Kazuhiro</t>
  </si>
  <si>
    <t>006.7'6</t>
  </si>
  <si>
    <t>TK5105.15.M825</t>
  </si>
  <si>
    <t>9781466626911</t>
  </si>
  <si>
    <t>9781466626607</t>
  </si>
  <si>
    <t>Multimedia Networking and Coding</t>
  </si>
  <si>
    <t>Farrugia, Reuben A.</t>
  </si>
  <si>
    <t>TK5105.5.N4646</t>
  </si>
  <si>
    <t>9781466621589</t>
  </si>
  <si>
    <t>9781466621572</t>
  </si>
  <si>
    <t>Network and Communication Technology Innovations for Web and IT Advancement</t>
  </si>
  <si>
    <t>004.6</t>
    <phoneticPr fontId="3" type="noConversion"/>
  </si>
  <si>
    <t>TK6570.I34S43</t>
  </si>
  <si>
    <t>9781466619913</t>
  </si>
  <si>
    <t>9781466619906</t>
  </si>
  <si>
    <t>Security and Trends in Wireless Identification and Sensing Platform Tags: Advancements in RFID</t>
  </si>
  <si>
    <t>Lopez, Pedro Peris</t>
  </si>
  <si>
    <t>TK5103.4.S42</t>
  </si>
  <si>
    <t>9781466639034</t>
  </si>
  <si>
    <t>9781466639027</t>
  </si>
  <si>
    <t>Security, Design, and Architecture for Broadband and Wireless Network Technologies</t>
  </si>
  <si>
    <t>Chilamkurti, Naveen</t>
  </si>
  <si>
    <t>621.39'8</t>
  </si>
  <si>
    <t>TK5103.4815.S45</t>
  </si>
  <si>
    <t>9781466628137</t>
  </si>
  <si>
    <t>9781466628120</t>
  </si>
  <si>
    <t>Self-Organization and Green Applications in Cognitive Radio Networks</t>
  </si>
  <si>
    <t>Al-Dulaimi, Anwer</t>
  </si>
  <si>
    <t>TK5105.88815.S42745</t>
  </si>
  <si>
    <t>9781466636118</t>
  </si>
  <si>
    <t>9781466636101</t>
  </si>
  <si>
    <t>Semantic Web: Ontology and Knowledge Base Enabled Tools, Services and Applications</t>
  </si>
  <si>
    <t>QA76.59.S77</t>
  </si>
  <si>
    <t>9781466619401</t>
  </si>
  <si>
    <t>9781466619395</t>
  </si>
  <si>
    <t>Strategy, Adoption, and Competitive Advantage of Mobile Services in the Global Economy</t>
  </si>
  <si>
    <t>TK5105.5.W43</t>
  </si>
  <si>
    <t>9781466620278</t>
  </si>
  <si>
    <t>9781466620261</t>
  </si>
  <si>
    <t>Web-Based Multimedia Advancements in Data Communications and Networking Technologies</t>
  </si>
  <si>
    <t>Sridhar, Varadharajan</t>
  </si>
  <si>
    <t>621.3841'92</t>
  </si>
  <si>
    <t>TK7872.D48A296</t>
  </si>
  <si>
    <t>9781466636866</t>
  </si>
  <si>
    <t>9781466636859</t>
  </si>
  <si>
    <t>Advanced Security and Privacy for RFID Technologies</t>
  </si>
  <si>
    <t>Miri, Ali</t>
  </si>
  <si>
    <t>005.8</t>
    <phoneticPr fontId="3" type="noConversion"/>
  </si>
  <si>
    <t>TK5105.59.P758</t>
  </si>
  <si>
    <t>9781466620513</t>
  </si>
  <si>
    <t>9781466620506</t>
  </si>
  <si>
    <t>Privacy Solutions and Security Frameworks in Information Protection</t>
  </si>
  <si>
    <t>QA76.5915.R57</t>
  </si>
  <si>
    <t>9781605662213</t>
  </si>
  <si>
    <t>9781605662206</t>
  </si>
  <si>
    <t>Risk Assessment and Management in Pervasive Computing: Operational, Legal, Ethical, and Financial Perspectives</t>
  </si>
  <si>
    <t>Godara, Varuna</t>
  </si>
  <si>
    <t>QA76.585.S44</t>
  </si>
  <si>
    <t>9781466621268</t>
  </si>
  <si>
    <t>9781466621251</t>
  </si>
  <si>
    <t>Security Engineering for Cloud Computing: Approaches and Tools</t>
  </si>
  <si>
    <t>Rosado, David G.</t>
  </si>
  <si>
    <t>HM742.S6287</t>
  </si>
  <si>
    <t>9781466639270</t>
  </si>
  <si>
    <t>9781466639263</t>
  </si>
  <si>
    <t>Social Network Engineering for Secure Web Data and Services</t>
  </si>
  <si>
    <t>Caviglione, Luca</t>
  </si>
  <si>
    <t>QA76.9.A25T4725</t>
  </si>
  <si>
    <t>9781466640313</t>
  </si>
  <si>
    <t>9781466640306</t>
  </si>
  <si>
    <t>Theory and Practice of Cryptography Solutions for Secure Information Systems</t>
  </si>
  <si>
    <t xml:space="preserve">Elçi, Atilla </t>
  </si>
  <si>
    <t>302.23/122</t>
  </si>
  <si>
    <t>HQ799.2.I5A36</t>
  </si>
  <si>
    <t>9781605669274</t>
  </si>
  <si>
    <t>9781605669267</t>
  </si>
  <si>
    <t>Adolescent Online Social Communication and Behavior: Relationship Formation on the Internet</t>
  </si>
  <si>
    <t>Zheng, Robert</t>
  </si>
  <si>
    <t>HM851.B5932012</t>
  </si>
  <si>
    <t>9781609607456</t>
  </si>
  <si>
    <t>9781609607449</t>
  </si>
  <si>
    <t>Blogging in the Global Society: Cultural, Political and Geographical Aspects</t>
  </si>
  <si>
    <t>Dumova, Tatyana</t>
  </si>
  <si>
    <t>004.2'1</t>
  </si>
  <si>
    <t>QA76.76.H85C37</t>
  </si>
  <si>
    <t>9781466640474</t>
  </si>
  <si>
    <t>9781466640467</t>
  </si>
  <si>
    <t>Cases on Usability Engineering: Design and Development of Digital Products</t>
  </si>
  <si>
    <t>Garcia-Ruiz, Miguel A.</t>
  </si>
  <si>
    <t>006.7'54</t>
  </si>
  <si>
    <t>TK5105.88817.C37</t>
  </si>
  <si>
    <t>9781466625167</t>
  </si>
  <si>
    <t>9781466625150</t>
  </si>
  <si>
    <t>Cases on Web 2.0 in Developing Countries: Studies on Implementation, Application, and Use</t>
  </si>
  <si>
    <t>Azab, Nahed Amin</t>
  </si>
  <si>
    <t>ZA3075.C652010</t>
  </si>
  <si>
    <t>9781615207985</t>
  </si>
  <si>
    <t>9781615207978</t>
  </si>
  <si>
    <t>Collaborative Information Behavior: User Engagement and Communication Sharing</t>
  </si>
  <si>
    <t>Foster, Jonathan</t>
  </si>
  <si>
    <t>QA76.59.D44</t>
  </si>
  <si>
    <t>9781466620698</t>
  </si>
  <si>
    <t>9781466620681</t>
  </si>
  <si>
    <t>Developments in Technologies for Human-Centric Mobile Computing and Applications</t>
  </si>
  <si>
    <t>HM851.D534</t>
  </si>
  <si>
    <t>9781466619166</t>
  </si>
  <si>
    <t>9781466619159</t>
  </si>
  <si>
    <t>Digital Identity and Social Media</t>
  </si>
  <si>
    <t>Warburton, Steven</t>
  </si>
  <si>
    <t>658.4/0220285</t>
  </si>
  <si>
    <t>HD30.37.E262011</t>
  </si>
  <si>
    <t>9781609604684</t>
  </si>
  <si>
    <t>9781609604660</t>
  </si>
  <si>
    <t>E-Collaboration Technologies and Organizational Performance: Current and Future Trends</t>
  </si>
  <si>
    <t>371.9/0460973</t>
  </si>
  <si>
    <t>HD30.2.K6378</t>
  </si>
  <si>
    <t>9781605668277</t>
  </si>
  <si>
    <t>9781605668260</t>
  </si>
  <si>
    <t>Educational Social Software for Context-Aware Learning: Collaborative Methods and Human Interaction</t>
  </si>
  <si>
    <t>Lambropoulos, Niki</t>
  </si>
  <si>
    <t>155.6'713</t>
  </si>
  <si>
    <t>BF724.8.E54</t>
  </si>
  <si>
    <t>9781466619678</t>
  </si>
  <si>
    <t>9781466619661</t>
  </si>
  <si>
    <t>Engaging Older Adults with Modern Technology: Internet Use and Information Access Needs</t>
  </si>
  <si>
    <t>Zheng, Robert Z.</t>
  </si>
  <si>
    <t>025.04'2019</t>
  </si>
  <si>
    <t>BF637.C45.E86</t>
  </si>
  <si>
    <t>9781466618596</t>
  </si>
  <si>
    <t>9781466618589</t>
  </si>
  <si>
    <t>Evolving Psychological and Educational Perspectives on Cyber Behavior</t>
  </si>
  <si>
    <t>QA76.9.W65G462012</t>
  </si>
  <si>
    <t>9781609607609</t>
  </si>
  <si>
    <t>9781609607593</t>
  </si>
  <si>
    <t>Gender and Social Computing: Interactions, Differences and Relationships</t>
  </si>
  <si>
    <t>Livermore, Celia Romm</t>
  </si>
  <si>
    <t>305.43'6</t>
  </si>
  <si>
    <t>T36.G442010</t>
  </si>
  <si>
    <t>9781615208142</t>
  </si>
  <si>
    <t>9781615208135</t>
  </si>
  <si>
    <t>Gender Issues in Learning and Working with Information Technology: Social Constructs and Cultural Contexts</t>
  </si>
  <si>
    <t>Booth, Shirley</t>
  </si>
  <si>
    <t>HM851.G575</t>
  </si>
  <si>
    <t>9781466600218</t>
  </si>
  <si>
    <t>9781466600201</t>
  </si>
  <si>
    <t>Globalization, Technology Diffusion and Gender Disparity: Social Impacts of ICTs</t>
  </si>
  <si>
    <t>Pande, Rekha</t>
  </si>
  <si>
    <t>P96.T42H3652010</t>
  </si>
  <si>
    <t>9781615207749</t>
  </si>
  <si>
    <t>9781615207732</t>
  </si>
  <si>
    <t>Handbook of Research on Discourse Behavior and Digital Communication: Language Structures and Social Interaction</t>
  </si>
  <si>
    <t>Taiwo, Rotimi</t>
  </si>
  <si>
    <t>658.300285/4678</t>
  </si>
  <si>
    <t>HF5549.5.T33.H36</t>
  </si>
  <si>
    <t>9781605663050</t>
  </si>
  <si>
    <t>9781605663043</t>
  </si>
  <si>
    <t>Handbook of Research on E-Transformation and Human Resources Management Technologies: Organizational Outcomes and Challenges</t>
  </si>
  <si>
    <t>Bondarouk, Tanya</t>
  </si>
  <si>
    <t>HC79.I55H3342011</t>
  </si>
  <si>
    <t>9781609600457</t>
  </si>
  <si>
    <t>9781609600440</t>
  </si>
  <si>
    <t>Handbook of Research on Technologies and Cultural Heritage: Applications and Environments</t>
  </si>
  <si>
    <t>Styliaras, Georgios</t>
  </si>
  <si>
    <t>303.48'3</t>
  </si>
  <si>
    <t>HM846.H36</t>
  </si>
  <si>
    <t>9781466622128</t>
  </si>
  <si>
    <t>9781466622111</t>
  </si>
  <si>
    <t>Handbook of Research on Technoself: Identity in a Technological Society</t>
  </si>
  <si>
    <t>303.48/33092</t>
  </si>
  <si>
    <t>HM851.I5292011</t>
  </si>
  <si>
    <t>9781609600594</t>
  </si>
  <si>
    <t>9781609600570</t>
  </si>
  <si>
    <t>Information and Communication Technologies, Society and Human Beings: Theory and Framework</t>
  </si>
  <si>
    <t>Haftor, Darek M.</t>
  </si>
  <si>
    <t>T58.5.I5275</t>
  </si>
  <si>
    <t>9781466629233</t>
  </si>
  <si>
    <t>9781466629226</t>
  </si>
  <si>
    <t>Information Systems and Modern Society: Social Change and Global Development</t>
  </si>
  <si>
    <t>004.068/3</t>
  </si>
  <si>
    <t>HD30.2.M364172011</t>
  </si>
  <si>
    <t>9781609605360</t>
  </si>
  <si>
    <t>9781609605353</t>
  </si>
  <si>
    <t>Managing IT Human Resources: Considerations for Organizations and Personnel</t>
  </si>
  <si>
    <t>Luftman, Jerry</t>
  </si>
  <si>
    <t>658.4/522</t>
  </si>
  <si>
    <t>QA76.618.N38</t>
  </si>
  <si>
    <t>9781605668239</t>
  </si>
  <si>
    <t>9781605668222</t>
  </si>
  <si>
    <t>Organizational Communication and Sustainable Development: ICTs for Mobility</t>
  </si>
  <si>
    <t>Hallin, Anette</t>
  </si>
  <si>
    <t>HM742.S6282</t>
  </si>
  <si>
    <t>9781466628076</t>
  </si>
  <si>
    <t>9781466628069</t>
  </si>
  <si>
    <t>Social Media Mining and Social Network Analysis: Emerging Research</t>
  </si>
  <si>
    <t>Xu, Guandong</t>
  </si>
  <si>
    <t>HM741.S784</t>
  </si>
  <si>
    <t>9781466640238</t>
  </si>
  <si>
    <t>9781466640221</t>
  </si>
  <si>
    <t>Studies in Virtual Communities, Blogs, and Modern Social Networking: Measurements, Analysis, and Investigations</t>
  </si>
  <si>
    <t>Dasgupta, Subhasish</t>
  </si>
  <si>
    <t>HM746.T432011</t>
  </si>
  <si>
    <t>9781609600938</t>
  </si>
  <si>
    <t>9781609600914</t>
  </si>
  <si>
    <t>Technologies for Supporting Reasoning Communities and Collaborative Decision Making: Cooperative Approaches</t>
  </si>
  <si>
    <t>Yearwood, John</t>
  </si>
  <si>
    <t>LB1028.3.T39733</t>
  </si>
  <si>
    <t>9781466626874</t>
  </si>
  <si>
    <t>9781466626560</t>
  </si>
  <si>
    <t>Technology Integration and Foundations for Effective Leadership</t>
  </si>
  <si>
    <t>Wang, Shuyan</t>
  </si>
  <si>
    <t>004.67</t>
  </si>
  <si>
    <t>TK5105.83.V575</t>
  </si>
  <si>
    <t>9781466603134</t>
  </si>
  <si>
    <t>9781466603127</t>
  </si>
  <si>
    <t>Virtual Community Participation and Motivation: Cross-Disciplinary Theories</t>
  </si>
  <si>
    <t>Li, Honglei</t>
  </si>
  <si>
    <t>LB1044.87.V58</t>
  </si>
  <si>
    <t>9781466618169</t>
  </si>
  <si>
    <t>9781466618152</t>
  </si>
  <si>
    <t>Virtual Professional Development and Informal Learning via Social Networks</t>
  </si>
  <si>
    <t>Dennen, Vanessa P.</t>
  </si>
  <si>
    <t> 006.7'8</t>
  </si>
  <si>
    <t>TK5105.88813.A365</t>
  </si>
  <si>
    <t>9781466620902</t>
  </si>
  <si>
    <t>9781466620896</t>
  </si>
  <si>
    <t>Adaptive Web Services for Modular and Reusable Software Development: Tactics and Solutions</t>
  </si>
  <si>
    <t>Ortiz, Guadalupe</t>
  </si>
  <si>
    <t>621.31'244</t>
  </si>
  <si>
    <t>TK8322.A38</t>
  </si>
  <si>
    <t>9781466619289</t>
  </si>
  <si>
    <t>9781466619272</t>
  </si>
  <si>
    <t>Advanced Solar Cell Materials, Technology, Modeling, and Simulation</t>
  </si>
  <si>
    <t>Fara, Laurentiu</t>
  </si>
  <si>
    <t>005.1</t>
    <phoneticPr fontId="3" type="noConversion"/>
  </si>
  <si>
    <t>QA76.76.D47A379824</t>
  </si>
  <si>
    <t>9781466625044</t>
  </si>
  <si>
    <t>9781466625037</t>
  </si>
  <si>
    <t>Agile and Lean Service-Oriented Development: Foundations, Theory, and Practice</t>
  </si>
  <si>
    <t>Wang, Xiaofeng</t>
  </si>
  <si>
    <t>QA76.9.C58A67</t>
  </si>
  <si>
    <t>9781466620667</t>
  </si>
  <si>
    <t>9781466620650</t>
  </si>
  <si>
    <t>Applications and Developments in Grid, Cloud, and High Performance Computing</t>
  </si>
  <si>
    <t>QA76.585.C57</t>
  </si>
  <si>
    <t>9781466618800</t>
  </si>
  <si>
    <t>9781466618794</t>
  </si>
  <si>
    <t>Cloud Computing Advancements in Design, Implementation, and Technologies</t>
  </si>
  <si>
    <t>Aljawarneh, Shadi</t>
  </si>
  <si>
    <t>004'.36</t>
  </si>
  <si>
    <t>QA76.9.D5D424</t>
  </si>
  <si>
    <t>9781466626782</t>
  </si>
  <si>
    <t>9781466626478</t>
  </si>
  <si>
    <t>Development of Distributed Systems from Design to Application and Maintenance</t>
  </si>
  <si>
    <t>QA76.9.D5D516</t>
  </si>
  <si>
    <t>9781466625341</t>
  </si>
  <si>
    <t>9781466625334</t>
  </si>
  <si>
    <t>Distributed Computing Innovations for Business, Engineering, and Science</t>
  </si>
  <si>
    <t>Loo, Alfred Waising</t>
  </si>
  <si>
    <t>TS176.D986</t>
  </si>
  <si>
    <t>9781466618688</t>
  </si>
  <si>
    <t>9781466618671</t>
  </si>
  <si>
    <t>Dynamic Methods and Process Advancements in Mechanical, Manufacturing, and Materials Engineering</t>
  </si>
  <si>
    <t>TK7895.E42E564</t>
  </si>
  <si>
    <t>9781466639232</t>
  </si>
  <si>
    <t>9781466639225</t>
  </si>
  <si>
    <t>Embedded Computing Systems: Applications, Optimization, and Advanced Design</t>
  </si>
  <si>
    <t>Khalgui, Mohamed</t>
  </si>
  <si>
    <t>TJ810.H34</t>
  </si>
  <si>
    <t>9781466619975</t>
  </si>
  <si>
    <t>9781466619968</t>
  </si>
  <si>
    <t>Handbook of Research on Solar Energy Systems and Technologies</t>
  </si>
  <si>
    <t>Anwar, Sohail</t>
  </si>
  <si>
    <t>625.26'3</t>
  </si>
  <si>
    <t>TL260.S98</t>
  </si>
  <si>
    <t>9781466640436</t>
  </si>
  <si>
    <t>9781466640429</t>
  </si>
  <si>
    <t>Hybrid Electric Power Train Engineering and Technology: Modeling, Control, and Simulation</t>
  </si>
  <si>
    <t>Szumanowski, Antoni</t>
  </si>
  <si>
    <t>338'.064</t>
  </si>
  <si>
    <t>HC79.T4I535</t>
  </si>
  <si>
    <t>9781466619791</t>
  </si>
  <si>
    <t>9781466619784</t>
  </si>
  <si>
    <t>Industrial Dynamics, Innovation Policy, and Economic Growth through Technological Advancements</t>
  </si>
  <si>
    <t>Yetkiner, I. Hakan</t>
  </si>
  <si>
    <t>TS155.6.I5342010</t>
  </si>
  <si>
    <t>9781615206933</t>
  </si>
  <si>
    <t>9781615206926</t>
  </si>
  <si>
    <t>Industrial Informatics Design, Use and Innovation: Perspectives and Services</t>
  </si>
  <si>
    <t xml:space="preserve">Holmström, Jonny </t>
  </si>
  <si>
    <t>006.7'4</t>
  </si>
  <si>
    <t>QA76.9D3I5455</t>
  </si>
  <si>
    <t>9781466627000</t>
  </si>
  <si>
    <t>9781466626690</t>
  </si>
  <si>
    <t>Innovations in XML Applications and Metadata Management: Advancing Technologies</t>
  </si>
  <si>
    <t>Ramalho, José Carlos</t>
  </si>
  <si>
    <t>QA76.9.S9M45</t>
  </si>
  <si>
    <t>9781466624894</t>
  </si>
  <si>
    <t>9781466624887</t>
  </si>
  <si>
    <t>Migrating Legacy Applications: Challenges in Service Oriented Architecture and Cloud Computing Environments</t>
  </si>
  <si>
    <t>Ionita, Anca Daniela</t>
  </si>
  <si>
    <t>388.3/10285</t>
  </si>
  <si>
    <t>TA1230.M85</t>
  </si>
  <si>
    <t>9781605662275</t>
  </si>
  <si>
    <t>9781605662268</t>
  </si>
  <si>
    <t>Multi-Agent Systems for Traffic and Transportation Engineering</t>
  </si>
  <si>
    <t>Bazzan, Ana L. C.</t>
  </si>
  <si>
    <t>LB1028.3.O5547</t>
  </si>
  <si>
    <t>9781466622067</t>
  </si>
  <si>
    <t>9781466622050</t>
  </si>
  <si>
    <t>Open-Source Technologies for Maximizing the Creation, Deployment, and Use of Digital Resources and Information</t>
  </si>
  <si>
    <t>QA76.585.</t>
  </si>
  <si>
    <t>9781466625372</t>
  </si>
  <si>
    <t>9781466625365</t>
  </si>
  <si>
    <t>Software Testing in the Cloud: Perspectives on an Emerging Discipline</t>
  </si>
  <si>
    <t>Tilley, Scott</t>
  </si>
  <si>
    <t>TL552.T432012</t>
  </si>
  <si>
    <t>9781609608880</t>
  </si>
  <si>
    <t>9781609608873</t>
  </si>
  <si>
    <t>Technology Engineering and Management in Aviation: Advancements and Discoveries</t>
  </si>
  <si>
    <t>Abu-Taieh, Evon</t>
  </si>
  <si>
    <t>序號</t>
    <phoneticPr fontId="3" type="noConversion"/>
  </si>
  <si>
    <t>主題</t>
    <phoneticPr fontId="3" type="noConversion"/>
  </si>
  <si>
    <t>次主題</t>
    <phoneticPr fontId="3" type="noConversion"/>
  </si>
  <si>
    <t>電子書13碼ISBN</t>
    <phoneticPr fontId="3" type="noConversion"/>
  </si>
  <si>
    <t>題名</t>
    <phoneticPr fontId="3" type="noConversion"/>
  </si>
  <si>
    <t>版次</t>
    <phoneticPr fontId="3" type="noConversion"/>
  </si>
  <si>
    <t>出版者</t>
    <phoneticPr fontId="3" type="noConversion"/>
  </si>
  <si>
    <t>出版年</t>
    <phoneticPr fontId="3" type="noConversion"/>
  </si>
  <si>
    <t>連結</t>
    <phoneticPr fontId="3" type="noConversion"/>
  </si>
  <si>
    <t>332</t>
  </si>
  <si>
    <t>HG178.3 .A34</t>
  </si>
  <si>
    <t>9781615209941</t>
  </si>
  <si>
    <t>9781615209934</t>
  </si>
  <si>
    <t>advanced technologies for microfinance: solutions and challenges</t>
  </si>
  <si>
    <t>1</t>
  </si>
  <si>
    <t>Ashta, Arvind</t>
  </si>
  <si>
    <t>2011</t>
  </si>
  <si>
    <t>658.4/03802854678</t>
  </si>
  <si>
    <t>HD30.2 .B8784</t>
  </si>
  <si>
    <t>9781609605827</t>
  </si>
  <si>
    <t>9781609605810</t>
  </si>
  <si>
    <t>business organizations and collaborative web: practices, strategies and patterns</t>
  </si>
  <si>
    <t>Malik, Kamna</t>
  </si>
  <si>
    <t>338.4/3378</t>
  </si>
  <si>
    <t>LB2342.82 .C37</t>
  </si>
  <si>
    <t>9781609606008</t>
  </si>
  <si>
    <t>9781609605995</t>
  </si>
  <si>
    <t>cases on innovations in educational marketing: transnational and technological strategies</t>
  </si>
  <si>
    <t>338/.064</t>
  </si>
  <si>
    <t>HC79.T4 C385</t>
  </si>
  <si>
    <t>9781615206100</t>
  </si>
  <si>
    <t>9781615206094</t>
  </si>
  <si>
    <t>cases on technology innovation: entrepreneurial successes and pitfalls</t>
  </si>
  <si>
    <t>Becker, S. Ann</t>
  </si>
  <si>
    <t>2010</t>
  </si>
  <si>
    <t>HF5548.32 .D484</t>
  </si>
  <si>
    <t>9781609606084</t>
  </si>
  <si>
    <t>9781609606077</t>
  </si>
  <si>
    <t>developing technologies in e-services, self-services, and mobile communication: new concepts</t>
  </si>
  <si>
    <t>HF5548.32 .D538</t>
  </si>
  <si>
    <t>9781605668079</t>
  </si>
  <si>
    <t>9781605668062</t>
  </si>
  <si>
    <t>digital business security development: management technologies</t>
  </si>
  <si>
    <t>Kerr, Don</t>
  </si>
  <si>
    <t>G156.5.I5 D54</t>
  </si>
  <si>
    <t>9781615208685</t>
  </si>
  <si>
    <t>9781615208678</t>
  </si>
  <si>
    <t>digital culture and e-tourism: technologies, applications and management approaches</t>
  </si>
  <si>
    <t>Lytras, Miltiadis</t>
  </si>
  <si>
    <t>621.38068</t>
  </si>
  <si>
    <t>HD9696.A2 D54</t>
  </si>
  <si>
    <t>9781616928797</t>
  </si>
  <si>
    <t>9781616928773</t>
  </si>
  <si>
    <t>digital product management, technology and practice: interdisciplinary perspectives</t>
  </si>
  <si>
    <t>Strader, Troy J.</t>
  </si>
  <si>
    <t>HF5548.32.D54</t>
  </si>
  <si>
    <t>9781605661193</t>
  </si>
  <si>
    <t>9781605661186</t>
  </si>
  <si>
    <t>digital rights management for e-commerce systems</t>
  </si>
  <si>
    <t>Drossos, Lambros</t>
  </si>
  <si>
    <t>2009</t>
  </si>
  <si>
    <t>658.5/7502854678</t>
  </si>
  <si>
    <t>HF5548.32 .E17369</t>
  </si>
  <si>
    <t>9781609601348</t>
  </si>
  <si>
    <t>9781609601324</t>
  </si>
  <si>
    <t>e-business applications for product development and competitive growth: emerging technologies</t>
  </si>
  <si>
    <t>HD2341 .E22</t>
  </si>
  <si>
    <t>9781616928827</t>
  </si>
  <si>
    <t>9781616928803</t>
  </si>
  <si>
    <t>e-business issues, challenges and opportunities for smes: driving competitiveness</t>
  </si>
  <si>
    <t>HD2341 .E223</t>
  </si>
  <si>
    <t>9781609604653</t>
  </si>
  <si>
    <t>9781609604639</t>
  </si>
  <si>
    <t>e-business managerial aspects, solutions and case studies</t>
  </si>
  <si>
    <t>HF5548.32 .E335</t>
  </si>
  <si>
    <t>9781609604868</t>
  </si>
  <si>
    <t>9781609604851</t>
  </si>
  <si>
    <t>electronic business interoperability: concepts, opportunities and challenges</t>
  </si>
  <si>
    <t>004.068</t>
  </si>
  <si>
    <t>HD30.2 .E435</t>
  </si>
  <si>
    <t>9781615206247</t>
  </si>
  <si>
    <t>9781615206230</t>
  </si>
  <si>
    <t>electronic globalized business and sustainable development through it management: strategies and perspectives</t>
  </si>
  <si>
    <t>Pablos, Patricia Ord??ez de</t>
  </si>
  <si>
    <t>658.70285</t>
  </si>
  <si>
    <t>HD38.5 .E44</t>
  </si>
  <si>
    <t>9781605668093</t>
  </si>
  <si>
    <t>9781605668086</t>
  </si>
  <si>
    <t>electronic supply network coordination in intelligent and dynamic environments: modeling and implementation</t>
  </si>
  <si>
    <t>Mahdavi, Iraj</t>
  </si>
  <si>
    <t>HD30.213 .E583</t>
  </si>
  <si>
    <t>9781616920210</t>
  </si>
  <si>
    <t>9781616920203</t>
  </si>
  <si>
    <t>enterprise information systems design, implementation and management: organizational applications</t>
  </si>
  <si>
    <t>746.9/20687</t>
  </si>
  <si>
    <t>HD9940.A2 F375</t>
  </si>
  <si>
    <t>9781609607579</t>
  </si>
  <si>
    <t>9781609607562</t>
  </si>
  <si>
    <t>fashion supply chain management: industry and business analysis</t>
  </si>
  <si>
    <t>Choi, Tsan-Ming</t>
  </si>
  <si>
    <t>658.500285</t>
  </si>
  <si>
    <t>HD38.5 .S497</t>
  </si>
  <si>
    <t>9781615206049</t>
  </si>
  <si>
    <t>9781615206032</t>
  </si>
  <si>
    <t xml:space="preserve">Service science and logistics informatics : innovative perspectives </t>
  </si>
  <si>
    <t>658.4/083</t>
  </si>
  <si>
    <t>HD30.255 .G736</t>
  </si>
  <si>
    <t>9781609605322</t>
  </si>
  <si>
    <t>9781609605315</t>
  </si>
  <si>
    <t>green finance and sustainability: environmentally-aware business models and technologies</t>
  </si>
  <si>
    <t>HD30.2 .H36424</t>
  </si>
  <si>
    <t>9781605668031</t>
  </si>
  <si>
    <t>9781605668024</t>
  </si>
  <si>
    <t>handbook of research on communities of practice for organizational management and networking: methodologies for competitive advantage</t>
  </si>
  <si>
    <t>Hern?ez, Olga Rivera</t>
  </si>
  <si>
    <t>658.8/7222</t>
  </si>
  <si>
    <t>HF5415.1265.H357</t>
  </si>
  <si>
    <t>9781605660752</t>
  </si>
  <si>
    <t>9781605660745</t>
  </si>
  <si>
    <t>handbook of research on mobile marketing management</t>
  </si>
  <si>
    <t>Pousttchi, Key</t>
  </si>
  <si>
    <t>HD30.2 .I5235</t>
  </si>
  <si>
    <t>9781609601409</t>
  </si>
  <si>
    <t>9781609601386</t>
  </si>
  <si>
    <t>information systems and new applications in the service sector: models and methods</t>
  </si>
  <si>
    <t>658.5/036</t>
  </si>
  <si>
    <t>TK5103.59.O653</t>
  </si>
  <si>
    <t>9781605669755</t>
  </si>
  <si>
    <t>9781605669748</t>
  </si>
  <si>
    <t>innovations in supply chain management for information systems: novel approaches</t>
  </si>
  <si>
    <t>658.5001/1</t>
  </si>
  <si>
    <t>HD69.P75 I68</t>
  </si>
  <si>
    <t>9781615206063</t>
  </si>
  <si>
    <t>9781615206056</t>
  </si>
  <si>
    <t>intelligent systems in operations: methods, models and applications in the supply chain</t>
  </si>
  <si>
    <t>Nag, Barin</t>
  </si>
  <si>
    <t>HF5548.34.M625</t>
  </si>
  <si>
    <t>9781605663678</t>
  </si>
  <si>
    <t>9781605663661</t>
  </si>
  <si>
    <t>mobile and ubiquitous commerce: advanced e-business methods</t>
  </si>
  <si>
    <t>Head, Milena</t>
  </si>
  <si>
    <t>HD38.5.P87</t>
  </si>
  <si>
    <t>9781591409014</t>
  </si>
  <si>
    <t>9781591408994</t>
  </si>
  <si>
    <t>purchasing and supply chain management: strategies and realities</t>
  </si>
  <si>
    <t>Quayle, Michael</t>
  </si>
  <si>
    <t>IGI Publishing</t>
  </si>
  <si>
    <t>2006</t>
  </si>
  <si>
    <t>HD30.2 .Q35</t>
  </si>
  <si>
    <t>9781616928919</t>
  </si>
  <si>
    <t>9781616928896</t>
  </si>
  <si>
    <t>quality management for it services: perspectives on business and process performance</t>
  </si>
  <si>
    <t>Praeg, Claus-Peter</t>
  </si>
  <si>
    <t>HD38.5 .S896154</t>
  </si>
  <si>
    <t>9781615206346</t>
  </si>
  <si>
    <t>9781615206339</t>
  </si>
  <si>
    <t>supply chain optimization, design, and management: advances and intelligent methods</t>
  </si>
  <si>
    <t>Minis, Ioannis</t>
  </si>
  <si>
    <t>HD38.5 .S896155</t>
  </si>
  <si>
    <t>9781609601379</t>
  </si>
  <si>
    <t>9781609601355</t>
  </si>
  <si>
    <t>supply chain optimization, management and integration: emerging applications</t>
  </si>
  <si>
    <t>HF5548.32 .V567</t>
  </si>
  <si>
    <t>9781616928100</t>
  </si>
  <si>
    <t>9781616928087</t>
  </si>
  <si>
    <t>virtual worlds and e-commerce: technologies and applications for building customer relationships</t>
  </si>
  <si>
    <t>006.7/4</t>
  </si>
  <si>
    <t>QA76.76.H94 A387</t>
  </si>
  <si>
    <t>9781615207282</t>
  </si>
  <si>
    <t>9781615207275</t>
  </si>
  <si>
    <t>advanced applications and structures in xml processing: label streams, semantics utilization and data query technologies</t>
  </si>
  <si>
    <t>Li, Changqing</t>
  </si>
  <si>
    <t>QA76.9.D32 A39</t>
  </si>
  <si>
    <t>9781609604769</t>
  </si>
  <si>
    <t>9781609604752</t>
  </si>
  <si>
    <t>advanced database query systems: techniques, applications and technologies</t>
  </si>
  <si>
    <t>QA76.9.D343.D3767</t>
  </si>
  <si>
    <t>9781599049618</t>
  </si>
  <si>
    <t>9781599049601</t>
  </si>
  <si>
    <t>data mining and knowledge discovery technologies</t>
  </si>
  <si>
    <t>2008</t>
  </si>
  <si>
    <t>QA76.9.D343 D38323</t>
  </si>
  <si>
    <t>9781605669076</t>
  </si>
  <si>
    <t>9781605669069</t>
  </si>
  <si>
    <t>data mining in public and private sectors: organizational and government applications</t>
  </si>
  <si>
    <t>Syvajarvi, Antti</t>
  </si>
  <si>
    <t>QA76.9.D343.D398</t>
  </si>
  <si>
    <t>9781599049526</t>
  </si>
  <si>
    <t>9781599049519</t>
  </si>
  <si>
    <t>data warehousing and mining: concepts, methodologies, tools, and applications</t>
  </si>
  <si>
    <t>6</t>
  </si>
  <si>
    <t>005.74/522</t>
  </si>
  <si>
    <t>LC5219.O55</t>
  </si>
  <si>
    <t>9781605667577</t>
  </si>
  <si>
    <t>9781605667560</t>
  </si>
  <si>
    <t>data warehousing design and advanced engineering applications: methods for complex construction</t>
  </si>
  <si>
    <t>Bellatreche, Ladjel</t>
  </si>
  <si>
    <t>QA76.9.D37 I4577</t>
  </si>
  <si>
    <t>9781609605384</t>
  </si>
  <si>
    <t>9781609605377</t>
  </si>
  <si>
    <t>integrations of data warehousing, data mining and database technologies: innovative approaches</t>
  </si>
  <si>
    <t>QA76.9.D343 I578</t>
  </si>
  <si>
    <t>9781615207589</t>
  </si>
  <si>
    <t>9781615207572</t>
  </si>
  <si>
    <t>intelligent soft computation and evolving data mining: integrating advanced technologies</t>
  </si>
  <si>
    <t>Wang, Leon Shyue-Liang</t>
  </si>
  <si>
    <t>TK7872.D48 .I48</t>
  </si>
  <si>
    <t>9781605663296</t>
  </si>
  <si>
    <t>9781605663289</t>
  </si>
  <si>
    <t>intelligent techniques for warehousing and mining sensor network data</t>
  </si>
  <si>
    <t>Cuzzocrea, Alfredo</t>
  </si>
  <si>
    <t>QA76.9.D343 K5645</t>
  </si>
  <si>
    <t>9781609600693</t>
  </si>
  <si>
    <t>9781609600679</t>
  </si>
  <si>
    <t>knowledge discovery practices and emerging applications of data mining: trends and new domains</t>
  </si>
  <si>
    <t>BF319.5.P34.P67</t>
  </si>
  <si>
    <t>9781605664057</t>
  </si>
  <si>
    <t>9781605664040</t>
  </si>
  <si>
    <t>post-mining of association rules: techniques for effective knowledge extraction</t>
  </si>
  <si>
    <t>Zhao, Yanchang</t>
  </si>
  <si>
    <t>006.3/122</t>
  </si>
  <si>
    <t>HV551.3.R3934</t>
  </si>
  <si>
    <t>9781605668598</t>
  </si>
  <si>
    <t>9781605668581</t>
  </si>
  <si>
    <t>scalable fuzzy algorithms for data management and analysis: methods and design</t>
  </si>
  <si>
    <t>Laurent, Anne</t>
  </si>
  <si>
    <t>QA76.9.D32 S64</t>
  </si>
  <si>
    <t>9781605668154</t>
  </si>
  <si>
    <t>9781605668147</t>
  </si>
  <si>
    <t>soft computing applications for database technologies: techniques and issues</t>
  </si>
  <si>
    <t>Anbumani, K.</t>
  </si>
  <si>
    <t>T58.5 .T497</t>
  </si>
  <si>
    <t>9781609605223</t>
  </si>
  <si>
    <t>9781609605216</t>
  </si>
  <si>
    <t>theoretical and practical advances in information systems development: emerging trends and approaches</t>
  </si>
  <si>
    <t>QA76.9.D343 V568</t>
  </si>
  <si>
    <t>9781609601041</t>
  </si>
  <si>
    <t>9781609601027</t>
  </si>
  <si>
    <t>visual analytics and interactive technologies: data, text and web mining applications</t>
  </si>
  <si>
    <t>Zhang, Qingyu</t>
  </si>
  <si>
    <t>LB1044.87 .B42</t>
  </si>
  <si>
    <t>9781609605445</t>
  </si>
  <si>
    <t>9781609605438</t>
  </si>
  <si>
    <t>anonymity and learning in digitally mediated communications:  authenticity and trust in cyber education</t>
  </si>
  <si>
    <t>Baggio, Bobbe</t>
  </si>
  <si>
    <t>374/.9</t>
  </si>
  <si>
    <t>LC5225.L42 A87</t>
  </si>
  <si>
    <t>9781615207466</t>
  </si>
  <si>
    <t>9781615207459</t>
  </si>
  <si>
    <t>assessing and evaluating adult learning in career and technical education</t>
  </si>
  <si>
    <t>378.00285</t>
  </si>
  <si>
    <t>LB2395.7 .C414</t>
  </si>
  <si>
    <t>9781615208708</t>
  </si>
  <si>
    <t>9781615208692</t>
  </si>
  <si>
    <t>cases on digital technologies in higher education: issues and challenges</t>
  </si>
  <si>
    <t>P53.855 .C37</t>
  </si>
  <si>
    <t>9781615209903</t>
  </si>
  <si>
    <t>9781615209897</t>
  </si>
  <si>
    <t>cases on globalized and culturally appropriate e-learning: challenges and solutions</t>
  </si>
  <si>
    <t>LB1044.84 .C56</t>
  </si>
  <si>
    <t>9781609604820</t>
  </si>
  <si>
    <t>9781609604813</t>
  </si>
  <si>
    <t>combining e-learning and m-learning: new applications of blended educational resources</t>
  </si>
  <si>
    <t>371.9</t>
  </si>
  <si>
    <t>LC3993 .C589</t>
  </si>
  <si>
    <t>9781609608798</t>
  </si>
  <si>
    <t>9781609608781</t>
  </si>
  <si>
    <t>communication technology for students in special education and gifted programs</t>
  </si>
  <si>
    <t>LB1029.G3 H36</t>
  </si>
  <si>
    <t>9781609604967</t>
  </si>
  <si>
    <t>9781609604950</t>
  </si>
  <si>
    <t>handbook of research on improving learning and motivation through educational games: multidisciplinary approaches (2 vol)</t>
  </si>
  <si>
    <t>2</t>
  </si>
  <si>
    <t>T57.62H365</t>
  </si>
  <si>
    <t>9781605667898</t>
  </si>
  <si>
    <t>9781605667881</t>
  </si>
  <si>
    <t>handbook of research on practices and outcomes in e-learning: issues and trends</t>
  </si>
  <si>
    <t>LB1044.84 .M63</t>
  </si>
  <si>
    <t>9781609605124</t>
  </si>
  <si>
    <t>9781609605117</t>
  </si>
  <si>
    <t>models for interdisciplinary mobile learning: delivering information to students</t>
  </si>
  <si>
    <t>Kitchenham, Andrew</t>
  </si>
  <si>
    <t>LB1044.87 .O64</t>
  </si>
  <si>
    <t>9781609606145</t>
  </si>
  <si>
    <t>9781609606138</t>
  </si>
  <si>
    <t>open source mobile learning: mobile linux applications</t>
  </si>
  <si>
    <t>P53.28 .B47</t>
  </si>
  <si>
    <t>9781615207084</t>
  </si>
  <si>
    <t>9781615207077</t>
  </si>
  <si>
    <t>second language distance learning and teaching: theoretical perspectives and didactic ergonomics</t>
  </si>
  <si>
    <t>Bertin, Jean-Claude</t>
  </si>
  <si>
    <t>372.7</t>
  </si>
  <si>
    <t>QA135.6 .S564</t>
  </si>
  <si>
    <t>9781605669311</t>
  </si>
  <si>
    <t>9781605669304</t>
  </si>
  <si>
    <t>simulation and gaming for mathematical education: epistemology and teaching strategies</t>
  </si>
  <si>
    <t>Piu, Angela</t>
  </si>
  <si>
    <t>LB2395.7 .S77</t>
  </si>
  <si>
    <t>9781609608019</t>
  </si>
  <si>
    <t>9781609608002</t>
  </si>
  <si>
    <t>streaming media delivery in higher education: methods and outcomes</t>
  </si>
  <si>
    <t>LB1028.3 .T39692</t>
  </si>
  <si>
    <t>9781615208982</t>
  </si>
  <si>
    <t>9781615208975</t>
  </si>
  <si>
    <t>technology implementation and teacher education: reflective models</t>
  </si>
  <si>
    <t>Yamamoto, Junko</t>
  </si>
  <si>
    <t>LB2395.7 .W434</t>
  </si>
  <si>
    <t>9781605662954</t>
  </si>
  <si>
    <t>9781605662947</t>
  </si>
  <si>
    <t>web 2.0-based e-learning: applying social informatics for tertiary teaching</t>
  </si>
  <si>
    <t>Lee, Mark J.W.</t>
  </si>
  <si>
    <t>Electronic Government, Global Society and the Environment</t>
  </si>
  <si>
    <t>HD30.255 .P36</t>
  </si>
  <si>
    <t>9781616928025</t>
  </si>
  <si>
    <t>9781616928001</t>
  </si>
  <si>
    <t>climate change, supply chain management and enterprise adaptation: implications of global warming on the economy</t>
  </si>
  <si>
    <t>Pappis, Costas P.</t>
  </si>
  <si>
    <t>630.685</t>
  </si>
  <si>
    <t>S494.5.D3 D39</t>
  </si>
  <si>
    <t>9781615208821</t>
  </si>
  <si>
    <t>9781615208814</t>
  </si>
  <si>
    <t>decision support systems in agriculture, food and the environment: trends, applications and advances</t>
  </si>
  <si>
    <t>Manos, Basil</t>
  </si>
  <si>
    <t>333.95/16</t>
  </si>
  <si>
    <t>QH75 .L26</t>
  </si>
  <si>
    <t>9781609606206</t>
  </si>
  <si>
    <t>9781609606190</t>
  </si>
  <si>
    <t>land use, climate change and biodiversity modeling: perspectives and applications</t>
  </si>
  <si>
    <t>Trisurat, Yongyut</t>
  </si>
  <si>
    <t>HT166 .R44</t>
  </si>
  <si>
    <t>9781616920234</t>
  </si>
  <si>
    <t>9781616920227</t>
  </si>
  <si>
    <t>rethinking sustainable development: urban management, engineering, and design</t>
  </si>
  <si>
    <t>Yigitcanlar, Tan</t>
  </si>
  <si>
    <t>388</t>
  </si>
  <si>
    <t>HC79.C3 S94</t>
  </si>
  <si>
    <t>9781615207763</t>
  </si>
  <si>
    <t>9781615207756</t>
  </si>
  <si>
    <t>sustainable urban and regional infrastructure development: technologies, applications and management</t>
  </si>
  <si>
    <t>QA76.9.H85 A485</t>
  </si>
  <si>
    <t>9781616928940</t>
  </si>
  <si>
    <t>9781616928926</t>
  </si>
  <si>
    <t>affective computing and interaction: psychological, cognitive and neuroscientific perspectives</t>
  </si>
  <si>
    <t>G?k?ay, Didem</t>
  </si>
  <si>
    <t>QA76.87 .A698</t>
  </si>
  <si>
    <t>9781615207121</t>
  </si>
  <si>
    <t>9781615207114</t>
  </si>
  <si>
    <t>artificial higher order neural networks for computer science and engineering: trends for emerging applications</t>
  </si>
  <si>
    <t>BF441 .T26</t>
  </si>
  <si>
    <t>9781609601706</t>
  </si>
  <si>
    <t>9781609601683</t>
  </si>
  <si>
    <t>cognitive informatics and wisdom development: interdisciplinary approaches</t>
  </si>
  <si>
    <t>Targowski, Andrew</t>
  </si>
  <si>
    <t>612.80285/63</t>
  </si>
  <si>
    <t>QP357.5.C634</t>
  </si>
  <si>
    <t>9781609600235</t>
  </si>
  <si>
    <t>9781609600211</t>
  </si>
  <si>
    <t>computational neuroscience for advancing artificial intelligence: models, methods and applications</t>
  </si>
  <si>
    <t>Alonso, Eduardo</t>
  </si>
  <si>
    <t>006.3/7</t>
  </si>
  <si>
    <t>TA1634 .C655</t>
  </si>
  <si>
    <t>9781609600266</t>
  </si>
  <si>
    <t>9781609600242</t>
  </si>
  <si>
    <t>computer vision for multimedia applications: methods and solutions</t>
  </si>
  <si>
    <t>Wang, Jinjun</t>
  </si>
  <si>
    <t>QA76.76.I58 D48</t>
  </si>
  <si>
    <t>9781609601737</t>
  </si>
  <si>
    <t>9781609601713</t>
  </si>
  <si>
    <t>developments in intelligent agent technologies and multi-agent systems: concepts and applications</t>
  </si>
  <si>
    <t>Trajkovski, Goran</t>
  </si>
  <si>
    <t>QA76.9.A48 H36</t>
  </si>
  <si>
    <t>9781616928582</t>
  </si>
  <si>
    <t>9781616928575</t>
  </si>
  <si>
    <t>handbook of research on ambient intelligence and smart environments: trends and perspectives</t>
  </si>
  <si>
    <t>Chong, Nak-Young</t>
  </si>
  <si>
    <t>Q342.I5643</t>
  </si>
  <si>
    <t>9781605667676</t>
  </si>
  <si>
    <t>9781605667669</t>
  </si>
  <si>
    <t>handbook of research on machine learning applications and trends: algorithms, methods, and techniques</t>
  </si>
  <si>
    <t>Olivas, Emilio Soria</t>
  </si>
  <si>
    <t>QA76.76.I58.H335</t>
  </si>
  <si>
    <t>9781605662572</t>
  </si>
  <si>
    <t>9781605662565</t>
  </si>
  <si>
    <t>handbook of research on multi-agent systems: semantics and dynamics of organizational models</t>
  </si>
  <si>
    <t>Dignum, Virginia</t>
  </si>
  <si>
    <t>152.4</t>
  </si>
  <si>
    <t>HM1033.H356</t>
  </si>
  <si>
    <t>9781605663555</t>
  </si>
  <si>
    <t>9781605663548</t>
  </si>
  <si>
    <t>handbook of research on synthetic emotions and sociable robotics: new applications in affective computing and artificial intelligence</t>
  </si>
  <si>
    <t>Vallverd?, Jordi</t>
  </si>
  <si>
    <t>Knowledge Management, Interdisciplinary Technologies and Library Science</t>
  </si>
  <si>
    <t>658.4/03803</t>
  </si>
  <si>
    <t>HD30.2 .E53</t>
  </si>
  <si>
    <t>9781599049328</t>
  </si>
  <si>
    <t>9781599049311</t>
  </si>
  <si>
    <t>encyclopedia of knowledge management, second edition</t>
  </si>
  <si>
    <t>Schwartz, David G.</t>
  </si>
  <si>
    <t>025.00285</t>
  </si>
  <si>
    <t>ZA4080 .E19</t>
  </si>
  <si>
    <t>9781609600334</t>
  </si>
  <si>
    <t>9781609600310</t>
  </si>
  <si>
    <t>e-publishing and digital libraries: legal and organizational issues</t>
  </si>
  <si>
    <t>Iglezakis, Ioannis</t>
  </si>
  <si>
    <t>HF5548.2 .E766</t>
  </si>
  <si>
    <t>9781616920173</t>
  </si>
  <si>
    <t>9781616920166</t>
  </si>
  <si>
    <t>e-strategies for resource management systems: planning and implementation</t>
  </si>
  <si>
    <t>Alkhalifa, Eshaa</t>
  </si>
  <si>
    <t>174/.4</t>
  </si>
  <si>
    <t>HD30.2 .E85</t>
  </si>
  <si>
    <t>9781615208746</t>
  </si>
  <si>
    <t>9781615208739</t>
  </si>
  <si>
    <t>ethical issues and social dilemmas in knowledge management: orgnizational innovation</t>
  </si>
  <si>
    <t>Costa, Goncalo Jorge Morais da</t>
  </si>
  <si>
    <t>HD30.2 .G577</t>
  </si>
  <si>
    <t>9781605669632</t>
  </si>
  <si>
    <t>9781605669625</t>
  </si>
  <si>
    <t>global, social, and organizational implications of emerging information resources management: concepts and applications</t>
  </si>
  <si>
    <t>HD30.2 .K636886</t>
  </si>
  <si>
    <t>9781615208302</t>
  </si>
  <si>
    <t>9781615208296</t>
  </si>
  <si>
    <t>knowledge management for process, organizational and marketing innovation: tools and methods</t>
  </si>
  <si>
    <t>O'Brien, Emma</t>
  </si>
  <si>
    <t>QH450.H36</t>
  </si>
  <si>
    <t>9781605663494</t>
  </si>
  <si>
    <t>9781605663487</t>
  </si>
  <si>
    <t>knowledge management strategies for business development</t>
  </si>
  <si>
    <t>Russ, Meir</t>
  </si>
  <si>
    <t>TK5105.88815 .O587</t>
  </si>
  <si>
    <t>9781609606268</t>
  </si>
  <si>
    <t>9781609606251</t>
  </si>
  <si>
    <t>ontology learning and knowledge discovery using the web: challenges and recent advances</t>
  </si>
  <si>
    <t>Wong, Wilson</t>
  </si>
  <si>
    <t>HD30.2 .S796</t>
  </si>
  <si>
    <t>9781605667102</t>
  </si>
  <si>
    <t>9781605667096</t>
  </si>
  <si>
    <t>strategies for knowledge management success:  exploring organizational efficacy</t>
  </si>
  <si>
    <t>572.8/0285</t>
  </si>
  <si>
    <t>QH324.2.A38</t>
  </si>
  <si>
    <t>9781591408659</t>
  </si>
  <si>
    <t>9781591408635</t>
  </si>
  <si>
    <t>advanced data mining technologies in bioinformatics</t>
  </si>
  <si>
    <t>Hsu, Hui-Huang</t>
  </si>
  <si>
    <t>TA1650 .A27</t>
  </si>
  <si>
    <t>9781615209927</t>
  </si>
  <si>
    <t>9781615209910</t>
  </si>
  <si>
    <t>advances in face image analysis: techniques and technologies</t>
  </si>
  <si>
    <t>Zhang, Yu-Jin</t>
  </si>
  <si>
    <t>610.28</t>
  </si>
  <si>
    <t>R856 .B495</t>
  </si>
  <si>
    <t>9781616920050</t>
  </si>
  <si>
    <t>9781616920043</t>
  </si>
  <si>
    <t>biomedical engineering and information systems: technologies, tools and applications</t>
  </si>
  <si>
    <t>Shukla, Anupam</t>
  </si>
  <si>
    <t>R858 .E225</t>
  </si>
  <si>
    <t>9781609604714</t>
  </si>
  <si>
    <t>9781609604691</t>
  </si>
  <si>
    <t>e-health, assistive technologies and applications for assisted living: challenges and solutions</t>
  </si>
  <si>
    <t>610.73</t>
  </si>
  <si>
    <t>RT50.5 .E95</t>
  </si>
  <si>
    <t>9781609600365</t>
  </si>
  <si>
    <t>9781609600341</t>
  </si>
  <si>
    <t>evidence-based practice in nursing informatics: concepts and applications</t>
  </si>
  <si>
    <t>Cashin, Andrew</t>
  </si>
  <si>
    <t>QH324.2 .H3575</t>
  </si>
  <si>
    <t>9781609604929</t>
  </si>
  <si>
    <t>9781609604912</t>
  </si>
  <si>
    <t>handbook of research on computational and systems biology: interdisciplinary applications</t>
  </si>
  <si>
    <t>Liu, Limin Angela</t>
  </si>
  <si>
    <t>681/.761</t>
  </si>
  <si>
    <t>HV1569.5 .H364</t>
  </si>
  <si>
    <t>9781615208180</t>
  </si>
  <si>
    <t>9781615208173</t>
  </si>
  <si>
    <t>handbook of research on human cognition and assistive technology: design, accessibility and transdisciplinary perspectives</t>
  </si>
  <si>
    <t>Seok, Soonhwa</t>
  </si>
  <si>
    <t>R858 .I557</t>
  </si>
  <si>
    <t>9781615209781</t>
  </si>
  <si>
    <t>9781615209774</t>
  </si>
  <si>
    <t>intelligent medical technologies and biomedical engineering: tools and applications</t>
  </si>
  <si>
    <t>QH324.2 .I54</t>
  </si>
  <si>
    <t>9781609600662</t>
  </si>
  <si>
    <t>9781609600648</t>
  </si>
  <si>
    <t>interdisciplinary research and applications in bioinformatics, computational biology, and environmental sciences</t>
  </si>
  <si>
    <t>QA76.87 .S97</t>
  </si>
  <si>
    <t>9781609600204</t>
  </si>
  <si>
    <t>9781609600181</t>
  </si>
  <si>
    <t>system and circuit design for biologically-inspired intelligent learning</t>
  </si>
  <si>
    <t>Temel, Turgay</t>
  </si>
  <si>
    <t>004.1</t>
  </si>
  <si>
    <t>QA76.887 .T47</t>
  </si>
  <si>
    <t>9781609601881</t>
  </si>
  <si>
    <t>9781609601867</t>
  </si>
  <si>
    <t>theoretical and technological advancements in nanotechnology and molecular computation: interdisciplinary gains</t>
  </si>
  <si>
    <t>MacLennan, Bruce</t>
  </si>
  <si>
    <t>R859.7.U27 U25</t>
  </si>
  <si>
    <t>9781615207787</t>
  </si>
  <si>
    <t>9781615207770</t>
  </si>
  <si>
    <t>ubiquitous health and medical informatics: the ubiquity 2.0 trend and beyond</t>
  </si>
  <si>
    <t>Mohammed, Sabah</t>
  </si>
  <si>
    <t>R119.9 .W56</t>
  </si>
  <si>
    <t>9781615208067</t>
  </si>
  <si>
    <t>9781615208050</t>
  </si>
  <si>
    <t>wireless technologies for ambient assisted living and healthcare: systems and applications</t>
  </si>
  <si>
    <t>Multimedia Technologies, Digital Communications and Networking</t>
  </si>
  <si>
    <t>621.382/12</t>
  </si>
  <si>
    <t>TK5101 .A35</t>
  </si>
  <si>
    <t>9781609607333</t>
  </si>
  <si>
    <t>9781609607326</t>
  </si>
  <si>
    <t>advanced communication protocol technologies: solutions, methods, and applications</t>
  </si>
  <si>
    <t>QA76.575 .A38</t>
  </si>
  <si>
    <t>9781615209040</t>
  </si>
  <si>
    <t>9781615209033</t>
  </si>
  <si>
    <t>advanced techniques in multimedia watermarking: image, video and audio applications</t>
  </si>
  <si>
    <t>Al-Haj, Ali Mohammad</t>
  </si>
  <si>
    <t>621.382/2</t>
  </si>
  <si>
    <t>TA1637 .A69</t>
  </si>
  <si>
    <t>9781609604783</t>
  </si>
  <si>
    <t>9781609604776</t>
  </si>
  <si>
    <t>applied signal and image processing: multidisciplinary advancements</t>
  </si>
  <si>
    <t>Qahwaji, Rami</t>
  </si>
  <si>
    <t>338.4/77978</t>
  </si>
  <si>
    <t>HD9993.E452 B87</t>
  </si>
  <si>
    <t>9781609605681</t>
  </si>
  <si>
    <t>9781609605674</t>
  </si>
  <si>
    <t>business, technological, and social dimensions of computer games: multidisciplinary developments</t>
  </si>
  <si>
    <t>HD30.26 .C66</t>
  </si>
  <si>
    <t>9781609605704</t>
  </si>
  <si>
    <t>9781609605698</t>
  </si>
  <si>
    <t>computer games as educational and management tools: uses and approaches</t>
  </si>
  <si>
    <t>QA76.5915.C65</t>
  </si>
  <si>
    <t>9781605662916</t>
  </si>
  <si>
    <t>9781605662909</t>
  </si>
  <si>
    <t>context-aware mobile and ubiquitous computing for enhanced usability: adaptive technologies and applications</t>
  </si>
  <si>
    <t>Stojanovic, Dragan</t>
  </si>
  <si>
    <t>006.7/6</t>
  </si>
  <si>
    <t>TK5105.525 .D48</t>
  </si>
  <si>
    <t>9781615209743</t>
  </si>
  <si>
    <t>9781615209736</t>
  </si>
  <si>
    <t>developing advanced web services through p2p computing and autonomous agents: trends and innovations</t>
  </si>
  <si>
    <t>Hassanien, Aboul Ella</t>
  </si>
  <si>
    <t>004.6/8</t>
  </si>
  <si>
    <t>TK5105.77 .E44</t>
  </si>
  <si>
    <t>9781609600297</t>
  </si>
  <si>
    <t>9781609600273</t>
  </si>
  <si>
    <t>emerging technologies in wireless ad-hoc networks: applications and future development</t>
  </si>
  <si>
    <t>TK7872.D48 H357</t>
  </si>
  <si>
    <t>9781615207022</t>
  </si>
  <si>
    <t>9781615207015</t>
  </si>
  <si>
    <t>handbook of research on developments and trends in wireless sensor networks: from principle to practice</t>
  </si>
  <si>
    <t>Jin, Hai</t>
  </si>
  <si>
    <t>HF5821 .H318</t>
  </si>
  <si>
    <t>9781605667935</t>
  </si>
  <si>
    <t>9781605667928</t>
  </si>
  <si>
    <t>handbook of research on digital media and advertising: user generated content consumption</t>
  </si>
  <si>
    <t>Eastin, Matthew S.</t>
  </si>
  <si>
    <t>621.3845/6</t>
  </si>
  <si>
    <t>TK5105.15 .I53</t>
  </si>
  <si>
    <t>9781609605643</t>
  </si>
  <si>
    <t>9781609605636</t>
  </si>
  <si>
    <t>innovations in mobile multimedia communications and applications: new technologies</t>
  </si>
  <si>
    <t>TK5105.8883 .N49</t>
  </si>
  <si>
    <t>9781609605728</t>
  </si>
  <si>
    <t>9781609605711</t>
  </si>
  <si>
    <t>new generation of portal software and engineering: emergining technologies</t>
  </si>
  <si>
    <t>Polger, Jana</t>
  </si>
  <si>
    <t>TK5105.77 .N49</t>
  </si>
  <si>
    <t>9781605662510</t>
  </si>
  <si>
    <t>9781605662503</t>
  </si>
  <si>
    <t>next generation mobile networks and ubiquitous computing</t>
  </si>
  <si>
    <t>Pierre, Samuel</t>
  </si>
  <si>
    <t>HF6146.I58 O56</t>
  </si>
  <si>
    <t>9781609601911</t>
  </si>
  <si>
    <t>9781609601898</t>
  </si>
  <si>
    <t>online multimedia advertising: techniques and technologies</t>
  </si>
  <si>
    <t>Hua, Xian-Sheng</t>
  </si>
  <si>
    <t>LB2395.7 .C417</t>
  </si>
  <si>
    <t>9781605667089</t>
  </si>
  <si>
    <t>9781605667072</t>
  </si>
  <si>
    <t>optical access networks and advanced photonics: technologies and deployment strategies</t>
  </si>
  <si>
    <t>Chochliouros, Ioannis P.</t>
  </si>
  <si>
    <t>TK5105.5828 .P47</t>
  </si>
  <si>
    <t>9781609607951</t>
  </si>
  <si>
    <t>9781609607944</t>
  </si>
  <si>
    <t>performance and dependability in service computing: concepts, techniques and research directions</t>
  </si>
  <si>
    <t>Cardellini, Valeria</t>
  </si>
  <si>
    <t>TK5102.9 .H42</t>
  </si>
  <si>
    <t>9781615209262</t>
  </si>
  <si>
    <t>9781615209255</t>
  </si>
  <si>
    <t>signal processing, perceptual coding and watermarking of digital audio: advanced technologies and models</t>
  </si>
  <si>
    <t>He, Xing</t>
  </si>
  <si>
    <t>TK5105.386 .S3746</t>
  </si>
  <si>
    <t>9781616928339</t>
  </si>
  <si>
    <t>9781616928315</t>
  </si>
  <si>
    <t>streaming media architectures, techniques, and applications: recent advances</t>
  </si>
  <si>
    <t>Zhu, Ce</t>
  </si>
  <si>
    <t>006.7068</t>
  </si>
  <si>
    <t>TK5105.888 .W37243</t>
  </si>
  <si>
    <t>9781609605247</t>
  </si>
  <si>
    <t>9781609605230</t>
  </si>
  <si>
    <t>web engineered applications for evolving organizations: emerging knowledge</t>
  </si>
  <si>
    <t>658.5002852</t>
  </si>
  <si>
    <t>LB1044.87.W43559</t>
  </si>
  <si>
    <t>9781605668895</t>
  </si>
  <si>
    <t>9781605668888</t>
  </si>
  <si>
    <t>web-based supply chain management and digital signal processing: methods for effective information administration and transmission</t>
  </si>
  <si>
    <t>Ramachandra, Manjunath</t>
  </si>
  <si>
    <t>TK5105.78 .W5685</t>
  </si>
  <si>
    <t>9781615207725</t>
  </si>
  <si>
    <t>9781615207718</t>
  </si>
  <si>
    <t>wireless network traffic and quality of service support: trends and standards</t>
  </si>
  <si>
    <t>Lagkas, Thomas</t>
  </si>
  <si>
    <t>Security Technologies, Ethics and Law</t>
  </si>
  <si>
    <t>005.8/2</t>
  </si>
  <si>
    <t>TK5102.94 .A67</t>
  </si>
  <si>
    <t>9781615207848</t>
  </si>
  <si>
    <t>9781615207831</t>
  </si>
  <si>
    <t>applied cryptography for cyber security and defense: information encryption and cyphering</t>
  </si>
  <si>
    <t>TK5102.94 .C523</t>
  </si>
  <si>
    <t>9781615207381</t>
  </si>
  <si>
    <t>9781615207374</t>
  </si>
  <si>
    <t>chaos synchronization and cryptography for secure communications: applications for encryption</t>
  </si>
  <si>
    <t>QA76.9.A25.C918</t>
  </si>
  <si>
    <t>9781605663272</t>
  </si>
  <si>
    <t>9781605663265</t>
  </si>
  <si>
    <t>cyber security and global information assurance: threat analysis and response solutions</t>
  </si>
  <si>
    <t>Knapp, Kenneth J.</t>
  </si>
  <si>
    <t>TK7876 .A325</t>
  </si>
  <si>
    <t>9781609608521</t>
  </si>
  <si>
    <t>9781609608514</t>
  </si>
  <si>
    <t>cyber security standards, practices and industrial applications: systems and methodologies</t>
  </si>
  <si>
    <t>Zubairi, Junaid Ahmed</t>
  </si>
  <si>
    <t>TK5105.5 .N466724</t>
  </si>
  <si>
    <t>9781609607784</t>
  </si>
  <si>
    <t>9781609607777</t>
  </si>
  <si>
    <t>network security, administration and management: advancing technologies and practice</t>
  </si>
  <si>
    <t>Kar, Dulal Chandra</t>
  </si>
  <si>
    <t>HM846 .A38</t>
  </si>
  <si>
    <t>9781609601997</t>
  </si>
  <si>
    <t>9781609601973</t>
  </si>
  <si>
    <t>actor-network theory and technology innovation: advancements and new concepts</t>
  </si>
  <si>
    <t>HM1211 .C6546</t>
  </si>
  <si>
    <t>9781609608347</t>
  </si>
  <si>
    <t>9781609608330</t>
  </si>
  <si>
    <t>computer-mediated communication across cultures: international interactions in online environments</t>
  </si>
  <si>
    <t>St.Amant, Kirk</t>
  </si>
  <si>
    <t>023</t>
  </si>
  <si>
    <t>Z675.U5 R4427</t>
  </si>
  <si>
    <t>9781615206025</t>
  </si>
  <si>
    <t>9781615206018</t>
  </si>
  <si>
    <t>recruitment, development, and retention of information professionals: trends in human resources and knowledge management</t>
  </si>
  <si>
    <t>Pankl, Elisabeth</t>
  </si>
  <si>
    <t>363.34/80687</t>
  </si>
  <si>
    <t>HV553 .R373</t>
  </si>
  <si>
    <t>9781609608255</t>
  </si>
  <si>
    <t>9781609608248</t>
  </si>
  <si>
    <t>relief supply chain for disasters: humanitarian, aid and emergency logistics</t>
  </si>
  <si>
    <t>Kov?cs, Gy?ngi</t>
  </si>
  <si>
    <t>HD53 .T434</t>
  </si>
  <si>
    <t>9781609605209</t>
  </si>
  <si>
    <t>9781609605193</t>
  </si>
  <si>
    <t>technology for creativity and innovation: tools, techniques and applications</t>
  </si>
  <si>
    <t>004.67/80835</t>
  </si>
  <si>
    <t>HQ799.2.I5 .Y667</t>
  </si>
  <si>
    <t>9781609602116</t>
  </si>
  <si>
    <t>9781609602093</t>
  </si>
  <si>
    <t>youth culture and net culture: online social practices</t>
  </si>
  <si>
    <t>Software Technologies, Computer Science and Engineering</t>
  </si>
  <si>
    <t>004/.33</t>
  </si>
  <si>
    <t>QA76.54 .A328</t>
  </si>
  <si>
    <t>9781609608286</t>
  </si>
  <si>
    <t>9781609608279</t>
  </si>
  <si>
    <t>achieving real-time in distributed computing: from grids to clouds</t>
  </si>
  <si>
    <t>QA76.76.S95 A38</t>
  </si>
  <si>
    <t>9781609607364</t>
  </si>
  <si>
    <t>9781609607357</t>
  </si>
  <si>
    <t>advanced design approaches to emerging software systems: principles, methodology and tools</t>
  </si>
  <si>
    <t>Liu, Xiaodong</t>
  </si>
  <si>
    <t>542/.85</t>
  </si>
  <si>
    <t>QD39.3.E46 .A38</t>
  </si>
  <si>
    <t>9781609608613</t>
  </si>
  <si>
    <t>9781609608606</t>
  </si>
  <si>
    <t>advanced methods and applications in chemoinformatics: research progress and new applications</t>
  </si>
  <si>
    <t>005.4/3222</t>
  </si>
  <si>
    <t>HD30.3.O724</t>
  </si>
  <si>
    <t>9781605668512</t>
  </si>
  <si>
    <t>9781605668505</t>
  </si>
  <si>
    <t>advanced operating systems and kernel applications: techniques and technologies</t>
  </si>
  <si>
    <t>Wiseman, Yair</t>
  </si>
  <si>
    <t>004.16</t>
  </si>
  <si>
    <t>LB1028.5 .I1168</t>
  </si>
  <si>
    <t>9781605667515</t>
  </si>
  <si>
    <t>9781605667508</t>
  </si>
  <si>
    <t>behavioral modeling for embedded systems and technologies: applications for design and implementation</t>
  </si>
  <si>
    <t>Gomes, Lu?s</t>
  </si>
  <si>
    <t>QA76.585 .C586</t>
  </si>
  <si>
    <t>9781609606046</t>
  </si>
  <si>
    <t>9781609606039</t>
  </si>
  <si>
    <t>cloud, grid and high performance computing: emerging applications</t>
  </si>
  <si>
    <t>387.70285</t>
  </si>
  <si>
    <t>R858.H322</t>
  </si>
  <si>
    <t>9781605668017</t>
  </si>
  <si>
    <t>9781605668000</t>
  </si>
  <si>
    <t>computational models, software engineering, and advanced technologies in air transportation: next generation applications</t>
  </si>
  <si>
    <t>Weigang, Li</t>
  </si>
  <si>
    <t>621.3815</t>
  </si>
  <si>
    <t>TK7895.E42 D467</t>
  </si>
  <si>
    <t>9781609602147</t>
  </si>
  <si>
    <t>9781609602123</t>
  </si>
  <si>
    <t>design and test technology for dependable systems-on-chip</t>
  </si>
  <si>
    <t>Ubar, Raimund</t>
  </si>
  <si>
    <t>621.3815/31</t>
  </si>
  <si>
    <t>TK5105.546 .D96</t>
  </si>
  <si>
    <t>9781615208081</t>
  </si>
  <si>
    <t>9781615208074</t>
  </si>
  <si>
    <t>dynamic reconfigurable network-on-chip design: innovations for computational processing and communication</t>
  </si>
  <si>
    <t>Shen, Jih-Sheng</t>
  </si>
  <si>
    <t>TK5105.5828 .E54</t>
  </si>
  <si>
    <t>9781609604943</t>
  </si>
  <si>
    <t>9781609604936</t>
  </si>
  <si>
    <t>engineering reliable service oriented architecture: managing complexity and service level agreements</t>
  </si>
  <si>
    <t>Milanovic, Nikola</t>
  </si>
  <si>
    <t>690.068/4</t>
  </si>
  <si>
    <t>TH437 .H26</t>
  </si>
  <si>
    <t>9781605669298</t>
  </si>
  <si>
    <t>9781605669281</t>
  </si>
  <si>
    <t>handbook of research on building information modeling and construction informatics: concepts and technologies</t>
  </si>
  <si>
    <t>Underwood, Jason</t>
  </si>
  <si>
    <t>670.42/7</t>
  </si>
  <si>
    <t>TJ211 .I48245</t>
  </si>
  <si>
    <t>9781615208500</t>
  </si>
  <si>
    <t>9781615208494</t>
  </si>
  <si>
    <t>intelligent industrial systems: modeling, automation and adaptive behavior</t>
  </si>
  <si>
    <t>Rigatos, Gerasimos G.</t>
  </si>
  <si>
    <t>TA166 .K363</t>
  </si>
  <si>
    <t>9781616927998</t>
  </si>
  <si>
    <t>9781616927974</t>
  </si>
  <si>
    <t>kansei engineering and soft computing: theory and practice</t>
  </si>
  <si>
    <t>Dai, Ying</t>
  </si>
  <si>
    <t>TK5102.9.M545</t>
  </si>
  <si>
    <t>9781605661797</t>
  </si>
  <si>
    <t>9781605661780</t>
  </si>
  <si>
    <t>multirate filtering for digital signal processing: matlab applications</t>
  </si>
  <si>
    <t>Mili?, Ljiljana</t>
  </si>
  <si>
    <t>TK5105.5828 .N66</t>
  </si>
  <si>
    <t>9781605667959</t>
  </si>
  <si>
    <t>9781605667942</t>
  </si>
  <si>
    <t>non-functional properties in service oriented architecture: requirements, models and methods</t>
  </si>
  <si>
    <t>629.8/95</t>
  </si>
  <si>
    <t>TJ223.P76 R43</t>
  </si>
  <si>
    <t>9781609600884</t>
  </si>
  <si>
    <t>9781609600860</t>
  </si>
  <si>
    <t>reconfigurable embedded control systems: applications for flexibility and agility</t>
  </si>
  <si>
    <t>QA76.9.A25 S6537</t>
  </si>
  <si>
    <t>9781615208388</t>
  </si>
  <si>
    <t>9781615208371</t>
  </si>
  <si>
    <t>software engineering for secure systems: industrial and research perspectives</t>
  </si>
  <si>
    <t>Mouratidis, Haralambos</t>
  </si>
  <si>
    <t>658.8/7</t>
  </si>
  <si>
    <t>HF5429 .A386</t>
  </si>
  <si>
    <t>9781609607395</t>
  </si>
  <si>
    <t>9781609607388</t>
  </si>
  <si>
    <t>advanced technologies management for retailing: frameworks and cases</t>
  </si>
  <si>
    <t>Pantano, Eleonora</t>
  </si>
  <si>
    <t>HF5548.32 .E18655</t>
  </si>
  <si>
    <t>9781605669656</t>
  </si>
  <si>
    <t>9781605669649</t>
  </si>
  <si>
    <t>e-commerce trends for organizational advancement: new applications and methods</t>
  </si>
  <si>
    <t>TK5105.88813 .E44</t>
  </si>
  <si>
    <t>9781615209682</t>
  </si>
  <si>
    <t>9781615209675</t>
  </si>
  <si>
    <t>electronic services: concepts, methodologies, tools and applications (3 vols.)</t>
  </si>
  <si>
    <t>3</t>
  </si>
  <si>
    <t>USA, Information Resources Man</t>
  </si>
  <si>
    <t>HF5548.32 .E518</t>
  </si>
  <si>
    <t>9781615206124</t>
  </si>
  <si>
    <t>9781615206117</t>
  </si>
  <si>
    <t>encyclopedia of e-business development and management in the global economy</t>
  </si>
  <si>
    <t>QA76.758.K365</t>
  </si>
  <si>
    <t>9781599049694</t>
  </si>
  <si>
    <t>9781599049687</t>
  </si>
  <si>
    <t>engineering service oriented systems: a model driven approach</t>
  </si>
  <si>
    <t>, Bill Karakostas</t>
  </si>
  <si>
    <t>T58.5 .I45</t>
  </si>
  <si>
    <t>9781609605025</t>
  </si>
  <si>
    <t>9781609605018</t>
  </si>
  <si>
    <t>impact of e-business technologies on public and private organizations: industry comparisons and perspectives</t>
  </si>
  <si>
    <t>Bak, Ozlem</t>
  </si>
  <si>
    <t>658.4</t>
  </si>
  <si>
    <t>HD2351 .I556</t>
  </si>
  <si>
    <t>9781615206445</t>
  </si>
  <si>
    <t>9781615206438</t>
  </si>
  <si>
    <t>innovation in business and enterprise: technologies and frameworks</t>
  </si>
  <si>
    <t>Al-Hakim, Latif</t>
  </si>
  <si>
    <t>HD30.213 .M348</t>
  </si>
  <si>
    <t>9781609605308</t>
  </si>
  <si>
    <t>9781609605292</t>
  </si>
  <si>
    <t>managing adaptability, intervention, and people in enterprise information systems</t>
  </si>
  <si>
    <t>HD38.5 .M3614</t>
  </si>
  <si>
    <t>9781616928643</t>
  </si>
  <si>
    <t>9781616928629</t>
  </si>
  <si>
    <t>managing global supply chain relationships: operations, strategies and practices</t>
  </si>
  <si>
    <t>Flynn, Barbara</t>
  </si>
  <si>
    <t>HD61 .M2654</t>
  </si>
  <si>
    <t>9781615206087</t>
  </si>
  <si>
    <t>9781615206070</t>
  </si>
  <si>
    <t>managing risk in virtual enterprise networks: implementing supply chain principles</t>
  </si>
  <si>
    <t>Ponis, Stavros</t>
  </si>
  <si>
    <t>QA76.758 .S4577</t>
  </si>
  <si>
    <t>9781615208203</t>
  </si>
  <si>
    <t>9781615208197</t>
  </si>
  <si>
    <t>service intelligence and service science: evolutionary technologies and challenges</t>
  </si>
  <si>
    <t>Leung, Ho-fung</t>
  </si>
  <si>
    <t>910.285/567822</t>
  </si>
  <si>
    <t>HD62.17.H36</t>
  </si>
  <si>
    <t>9781605668192</t>
  </si>
  <si>
    <t>9781605668185</t>
  </si>
  <si>
    <t>tourism informatics: visual travel recommender systems, social communities, and user interface design</t>
  </si>
  <si>
    <t>Sharda, Nalin</t>
  </si>
  <si>
    <t>LC5219.A34</t>
  </si>
  <si>
    <t>9781605667492</t>
  </si>
  <si>
    <t>9781605667485</t>
  </si>
  <si>
    <t>complex data warehousing and knowledge discovery for advanced retrieval development: innovative methods and applications</t>
  </si>
  <si>
    <t>Nguyen, Tho Manh</t>
  </si>
  <si>
    <t>QA76.9.D343 D956</t>
  </si>
  <si>
    <t>9781605669090</t>
  </si>
  <si>
    <t>9781605669083</t>
  </si>
  <si>
    <t>dynamic and advanced data mining for progressing technological development: innovations and systemic approaches</t>
  </si>
  <si>
    <t>Ali, ABM Shawkat</t>
  </si>
  <si>
    <t>QA76.575.S4495</t>
  </si>
  <si>
    <t>9781605661896</t>
  </si>
  <si>
    <t>9781605661889</t>
  </si>
  <si>
    <t>semantic mining technologies for multimedia databases</t>
  </si>
  <si>
    <t>Tao, Dacheng</t>
  </si>
  <si>
    <t>005.74/5</t>
  </si>
  <si>
    <t>QA76.9.D343 S6852</t>
  </si>
  <si>
    <t>9781605667188</t>
  </si>
  <si>
    <t>9781605667171</t>
  </si>
  <si>
    <t>strategic advancements in utilizing data mining and warehousing technologies: new concepts and developments</t>
  </si>
  <si>
    <t>P53.285 .A23</t>
  </si>
  <si>
    <t>9781609601430</t>
  </si>
  <si>
    <t>9781609601416</t>
  </si>
  <si>
    <t>academic podcasting and mobile assisted language learning: applications and outcomes</t>
  </si>
  <si>
    <t>Facer, Betty Rose</t>
  </si>
  <si>
    <t>LB1028.3 .A332</t>
  </si>
  <si>
    <t>9781616928568</t>
  </si>
  <si>
    <t>9781616928544</t>
  </si>
  <si>
    <t>adaptation, resistance and access to instructional technologies: assessing future trends in education</t>
  </si>
  <si>
    <t>D'Agustino, Steven</t>
  </si>
  <si>
    <t>374/.2622</t>
  </si>
  <si>
    <t>LB1044.87.H345</t>
  </si>
  <si>
    <t>9781605668291</t>
  </si>
  <si>
    <t>9781605668284</t>
  </si>
  <si>
    <t>adult learning in the digital age: perspectives on online technologies and outcomes</t>
  </si>
  <si>
    <t>Kidd, Terry T.</t>
  </si>
  <si>
    <t>LB2395.7.D66</t>
  </si>
  <si>
    <t>9781599048178</t>
  </si>
  <si>
    <t>9781599048147</t>
  </si>
  <si>
    <t>applied e-learning and e-teaching in higher education</t>
  </si>
  <si>
    <t>HV1568.4 .A83</t>
  </si>
  <si>
    <t>9781609605421</t>
  </si>
  <si>
    <t>9781609605414</t>
  </si>
  <si>
    <t>assistive and augmentive communication for the disabled: intelligent technologies for communication, learning and teaching</t>
  </si>
  <si>
    <t>Theng, Lau Bee</t>
  </si>
  <si>
    <t>LC5803.C65 F85</t>
  </si>
  <si>
    <t>9781615208661</t>
  </si>
  <si>
    <t>9781615208654</t>
  </si>
  <si>
    <t>distinctive distance education design: models for differentiated instruction</t>
  </si>
  <si>
    <t>Fuller, Richard G.</t>
  </si>
  <si>
    <t>371.33/4072</t>
  </si>
  <si>
    <t>LB1028.5 .H3165</t>
  </si>
  <si>
    <t>9781616927905</t>
  </si>
  <si>
    <t>9781616927899</t>
  </si>
  <si>
    <t>handbook of research on e-learning standards and interoperability: frameworks and issues</t>
  </si>
  <si>
    <t>LB1028.3 .M59</t>
  </si>
  <si>
    <t>9781616928513</t>
  </si>
  <si>
    <t>9781616928490</t>
  </si>
  <si>
    <t>mobile technologies and handheld devices for ubiquitous learning: research and pedagogy</t>
  </si>
  <si>
    <t>Ng, Wan</t>
  </si>
  <si>
    <t>LB1028.5 .O488</t>
  </si>
  <si>
    <t>9781609601522</t>
  </si>
  <si>
    <t>9781609601508</t>
  </si>
  <si>
    <t>online courses and ict in education: emerging practices and applications</t>
  </si>
  <si>
    <t>378.1/01</t>
  </si>
  <si>
    <t>LB2324 .P47</t>
  </si>
  <si>
    <t>9781609601164</t>
  </si>
  <si>
    <t>9781609601140</t>
  </si>
  <si>
    <t>physical and virtual learning spaces in higher education: concepts for the modern learning environment</t>
  </si>
  <si>
    <t>Keppell, Mike</t>
  </si>
  <si>
    <t>HD30.2122 .V55</t>
  </si>
  <si>
    <t>9781615206209</t>
  </si>
  <si>
    <t>9781615206193</t>
  </si>
  <si>
    <t>virtual environments for corporate education: employee learning and solutions</t>
  </si>
  <si>
    <t>Ritke-Jones, William</t>
  </si>
  <si>
    <t>620.0071/1</t>
  </si>
  <si>
    <t>T65 .W896</t>
  </si>
  <si>
    <t>9781609605483</t>
  </si>
  <si>
    <t>9781609605476</t>
  </si>
  <si>
    <t>work-integrated learning in engineering, built environment and technology: diversity of practice in practice</t>
  </si>
  <si>
    <t>Keleher, Patrick</t>
  </si>
  <si>
    <t>333.793/20684</t>
  </si>
  <si>
    <t>HD38.5.I54</t>
  </si>
  <si>
    <t>9781605667386</t>
  </si>
  <si>
    <t>9781605667379</t>
  </si>
  <si>
    <t>intelligent information systems and knowledge management for energy: applications for decision support, usage, and environmental protection</t>
  </si>
  <si>
    <t>Metaxiotis, Kostas</t>
  </si>
  <si>
    <t>HC79.T4 R434</t>
  </si>
  <si>
    <t>9781616928483</t>
  </si>
  <si>
    <t>9781616928469</t>
  </si>
  <si>
    <t>regional innovation systems and sustainable development: emerging technologies</t>
  </si>
  <si>
    <t>006.3/1</t>
  </si>
  <si>
    <t>Q325.5 .C654</t>
  </si>
  <si>
    <t>9781609605520</t>
  </si>
  <si>
    <t>9781609605513</t>
  </si>
  <si>
    <t>computational modeling and simulation of intellect: current state and future perspectives</t>
  </si>
  <si>
    <t>QA76.9.N38 C674</t>
  </si>
  <si>
    <t>9781609606183</t>
  </si>
  <si>
    <t>9781609606176</t>
  </si>
  <si>
    <t>conversational agents and natural language interaction: techniques and effective practices</t>
  </si>
  <si>
    <t>Perez-Marin, Diana</t>
  </si>
  <si>
    <t>681/.754</t>
  </si>
  <si>
    <t>TP159.C46 I48</t>
  </si>
  <si>
    <t>9781615209163</t>
  </si>
  <si>
    <t>9781615209156</t>
  </si>
  <si>
    <t>intelligent systems for machine olfaction: tools and methodologies</t>
  </si>
  <si>
    <t>Hines, Evor L.</t>
  </si>
  <si>
    <t>T58.6 .I5778</t>
  </si>
  <si>
    <t>9781609605964</t>
  </si>
  <si>
    <t>9781609605957</t>
  </si>
  <si>
    <t>intelligent, adaptive and reasoning technologies: new developments and applications</t>
  </si>
  <si>
    <t>QA76.9.D3 M28424</t>
  </si>
  <si>
    <t>9781616928612</t>
  </si>
  <si>
    <t>9781616928599</t>
  </si>
  <si>
    <t>machine learning techniques for adaptive multimedia retrieval: technologies applications and perspectives</t>
  </si>
  <si>
    <t>QA76.76.I58 M78</t>
  </si>
  <si>
    <t>9781605668994</t>
  </si>
  <si>
    <t>9781605668987</t>
  </si>
  <si>
    <t>multi-agent applications with evolutionary computation and biologically inspired technologies: intelligent techniques for ubiquity and optimization</t>
  </si>
  <si>
    <t>Chen, Shu-Heng</t>
  </si>
  <si>
    <t>HD38.7 .B8717</t>
  </si>
  <si>
    <t>9781615206308</t>
  </si>
  <si>
    <t>9781615206292</t>
  </si>
  <si>
    <t>business intelligence in economic forecasting: technologies and techniques</t>
  </si>
  <si>
    <t>Wang, Jue</t>
  </si>
  <si>
    <t>ZA4080 .D487</t>
  </si>
  <si>
    <t>9781615207688</t>
  </si>
  <si>
    <t>9781615207671</t>
  </si>
  <si>
    <t>developing sustainable digital libraries: socio-technical perspectives</t>
  </si>
  <si>
    <t>658.5/75</t>
  </si>
  <si>
    <t>TS171.4 .H36</t>
  </si>
  <si>
    <t>9781615206186</t>
  </si>
  <si>
    <t>9781615206179</t>
  </si>
  <si>
    <t>handbook of research on trends in product design and development: technological and organizational perspectives</t>
  </si>
  <si>
    <t>Silva, Arlindo</t>
  </si>
  <si>
    <t>HD30.2 .I5365</t>
  </si>
  <si>
    <t>9781605667027</t>
  </si>
  <si>
    <t>9781605667010</t>
  </si>
  <si>
    <t>innovative knowledge management: concepts for organizational creativity and collaborative design</t>
  </si>
  <si>
    <t>Eardley, Alan</t>
  </si>
  <si>
    <t>658.4/038 21</t>
  </si>
  <si>
    <t>HD30.2 .K63684</t>
  </si>
  <si>
    <t/>
  </si>
  <si>
    <t>9781878289988</t>
  </si>
  <si>
    <t>knowledge management and business model innovation</t>
  </si>
  <si>
    <t>Malhotra, Yogesh</t>
  </si>
  <si>
    <t>2001</t>
  </si>
  <si>
    <t>HD30.2 .K637244</t>
  </si>
  <si>
    <t>9781616928889</t>
  </si>
  <si>
    <t>9781616928865</t>
  </si>
  <si>
    <t>knowledge management in emerging economies: social, organizational and cultural implementation</t>
  </si>
  <si>
    <t>Al-Shammari, Minwir</t>
  </si>
  <si>
    <t>616.07/540285</t>
  </si>
  <si>
    <t>RC78.7.D35 B555</t>
  </si>
  <si>
    <t>9781605669571</t>
  </si>
  <si>
    <t>9781605669564</t>
  </si>
  <si>
    <t>biomedical image analysis and machine learning technologies: applications and techniques</t>
  </si>
  <si>
    <t>Gonzalez, Fabio A.</t>
  </si>
  <si>
    <t>R858 .E28</t>
  </si>
  <si>
    <t>9781616928452</t>
  </si>
  <si>
    <t>9781616928438</t>
  </si>
  <si>
    <t>e-health systems quality and reliability: models and standards</t>
  </si>
  <si>
    <t>TA335.K47</t>
  </si>
  <si>
    <t>9781599040448</t>
  </si>
  <si>
    <t>9781599040424</t>
  </si>
  <si>
    <t>kernel methods in bioengineering, signal and image processing</t>
  </si>
  <si>
    <t>Camps-Valls, Gustavo</t>
  </si>
  <si>
    <t>2007</t>
  </si>
  <si>
    <t>362.1068</t>
  </si>
  <si>
    <t>RA971 .M34237</t>
  </si>
  <si>
    <t>9781609608736</t>
  </si>
  <si>
    <t>9781609608729</t>
  </si>
  <si>
    <t>management engineering for effective healthcare delivery: principles and applications</t>
  </si>
  <si>
    <t>Kolker, Alexander</t>
  </si>
  <si>
    <t>688.7/6</t>
  </si>
  <si>
    <t>GV745.D55</t>
  </si>
  <si>
    <t>9781605664071</t>
  </si>
  <si>
    <t>9781605664064</t>
  </si>
  <si>
    <t>digital sport for performance enhancement and competitive evolution: intelligent gaming technologies</t>
  </si>
  <si>
    <t>Pope, Nigel K. LI.</t>
  </si>
  <si>
    <t>QA76.76.C672 G366</t>
  </si>
  <si>
    <t>9781616928308</t>
  </si>
  <si>
    <t>9781616928285</t>
  </si>
  <si>
    <t>game sound technology and player interaction: concepts and developments</t>
  </si>
  <si>
    <t>Grimshaw, Mark</t>
  </si>
  <si>
    <t>GV1469.3 .G425</t>
  </si>
  <si>
    <t>9781615207183</t>
  </si>
  <si>
    <t>9781615207176</t>
  </si>
  <si>
    <t>gaming and cognition: theories and practice from the learning sciences</t>
  </si>
  <si>
    <t>Eck, Richard Van</t>
  </si>
  <si>
    <t>910.285/67</t>
  </si>
  <si>
    <t>G70.212 .G4789</t>
  </si>
  <si>
    <t>9781609601942</t>
  </si>
  <si>
    <t>9781609601928</t>
  </si>
  <si>
    <t>geospatial web services: advances in information interoperability</t>
  </si>
  <si>
    <t>Zhao, Peisheng</t>
  </si>
  <si>
    <t>025.042/722</t>
  </si>
  <si>
    <t>TK5105.88817.H363</t>
  </si>
  <si>
    <t>9781605663852</t>
  </si>
  <si>
    <t>9781605663845</t>
  </si>
  <si>
    <t>handbook of research on web 2.0, 3.0, and x.0: technologies, business, and social applications</t>
  </si>
  <si>
    <t>Murugesan, San</t>
  </si>
  <si>
    <t>QA76.73.J38.K595</t>
  </si>
  <si>
    <t>9781599047911</t>
  </si>
  <si>
    <t>9781599047898</t>
  </si>
  <si>
    <t>interactive web-based virtual reality with java 3d</t>
  </si>
  <si>
    <t>Ko, Chi Chung</t>
  </si>
  <si>
    <t>371.33/466</t>
  </si>
  <si>
    <t>LB1043.5 .I645</t>
  </si>
  <si>
    <t>9781615207169</t>
  </si>
  <si>
    <t>9781615207152</t>
  </si>
  <si>
    <t>interactive whiteboards for education: theory, research and practice</t>
  </si>
  <si>
    <t>QA76.5915 .M43</t>
  </si>
  <si>
    <t>9781609607753</t>
  </si>
  <si>
    <t>9781609607746</t>
  </si>
  <si>
    <t>media in the ubiquitous era: ambient, social and gaming media</t>
  </si>
  <si>
    <t>Lugmayr, Artur</t>
  </si>
  <si>
    <t>QA76.575 .M858</t>
  </si>
  <si>
    <t>9781609608224</t>
  </si>
  <si>
    <t>9781609608217</t>
  </si>
  <si>
    <t>multiple sensorial media advances and applications: new developments in mulsemedia</t>
  </si>
  <si>
    <t>Ghinea, George</t>
  </si>
  <si>
    <t>GV1469.3 .S48</t>
  </si>
  <si>
    <t>9781615207404</t>
  </si>
  <si>
    <t>9781615207398</t>
  </si>
  <si>
    <t>serious game design and development: technologies for training and learning</t>
  </si>
  <si>
    <t>Cannon-Bowers, Janis</t>
  </si>
  <si>
    <t>629.2/77</t>
  </si>
  <si>
    <t>TL272.58 .T45</t>
  </si>
  <si>
    <t>9781605668413</t>
  </si>
  <si>
    <t>9781605668406</t>
  </si>
  <si>
    <t>telematics communication technologies and vehicular networks: wireless architectures and applications</t>
  </si>
  <si>
    <t>Huang, Chung-Ming</t>
  </si>
  <si>
    <t>TK5105.888 .W3728</t>
  </si>
  <si>
    <t>9781605667201</t>
  </si>
  <si>
    <t>9781605667195</t>
  </si>
  <si>
    <t>web engineering advancements and trends: building new dimensions of information technology</t>
  </si>
  <si>
    <t>Alkhatib, Ghazi</t>
  </si>
  <si>
    <t>HC59.72.I55 F73</t>
  </si>
  <si>
    <t>9781616920135</t>
  </si>
  <si>
    <t>9781616920128</t>
  </si>
  <si>
    <t>frameworks for ict policy: government, social and legal issues</t>
  </si>
  <si>
    <t>Adomi, Esharenana E.</t>
  </si>
  <si>
    <t>HC59.72.I55 H33</t>
  </si>
  <si>
    <t>9781615208487</t>
  </si>
  <si>
    <t>9781615208470</t>
  </si>
  <si>
    <t>handbook of research on information communication technology policy: trends, issues and advancements</t>
  </si>
  <si>
    <t>TK5105.83 .H36</t>
  </si>
  <si>
    <t>9781609600419</t>
  </si>
  <si>
    <t>9781609600402</t>
  </si>
  <si>
    <t>handbook of research on methods and techniques for studying virtual communities: paradigms and phenomena (2 vol)</t>
  </si>
  <si>
    <t>Daniel, Ben Kei</t>
  </si>
  <si>
    <t>TK5105.83 .V57</t>
  </si>
  <si>
    <t>9781609608705</t>
  </si>
  <si>
    <t>9781609608699</t>
  </si>
  <si>
    <t>virtual community building and the information society: current and future directions</t>
  </si>
  <si>
    <t>Morr, Christo El</t>
  </si>
  <si>
    <t>620/.00452</t>
  </si>
  <si>
    <t>TS173 .D47</t>
  </si>
  <si>
    <t>9781609607487</t>
  </si>
  <si>
    <t>9781609607470</t>
  </si>
  <si>
    <t>dependability and computer engineering: concepts for software-intensive systems</t>
  </si>
  <si>
    <t>Petre, Luigia</t>
  </si>
  <si>
    <t>QA76.758 .K67</t>
  </si>
  <si>
    <t>9781609605100</t>
  </si>
  <si>
    <t>9781609605094</t>
  </si>
  <si>
    <t>knowledge engineering for software development life cycles: support technologies and applications</t>
  </si>
  <si>
    <t>Ramachandran, Muthu</t>
  </si>
  <si>
    <t>QA76.758 .M62</t>
  </si>
  <si>
    <t>9781609602178</t>
  </si>
  <si>
    <t>9781609602154</t>
  </si>
  <si>
    <t>modern software engineering concepts and practices: advanced approaches</t>
  </si>
  <si>
    <t>Do?ru, Ali H.</t>
  </si>
  <si>
    <t>338.0999</t>
  </si>
  <si>
    <t>HD9711.75.A2 S633</t>
  </si>
  <si>
    <t>9781609601072</t>
  </si>
  <si>
    <t>9781609601058</t>
  </si>
  <si>
    <t>space-based technologies and commercialized development: economic implications and benefits</t>
  </si>
  <si>
    <t>Tkatchova, Stella</t>
  </si>
  <si>
    <t>Arts &amp; Humanities &amp; Social Science</t>
  </si>
  <si>
    <t>HD30.28.M38387</t>
  </si>
  <si>
    <t>Applying Principles from IT Architecture to Strategic Business Planning</t>
  </si>
  <si>
    <t>McKee, James</t>
  </si>
  <si>
    <t>621.042</t>
  </si>
  <si>
    <t>TJ808.F56</t>
  </si>
  <si>
    <t>Technology and Energy Sources Monitoring: Control, Efficiency, and Optimization</t>
  </si>
  <si>
    <t>Flizikowski, Jozef</t>
  </si>
  <si>
    <t>658.4/040285</t>
  </si>
  <si>
    <t>T58.64.P47</t>
  </si>
  <si>
    <t>Perspectives and Techniques for Improving Information Technology Project Management</t>
  </si>
  <si>
    <t>JF1525.A8D543</t>
  </si>
  <si>
    <t>Digital Democracy and the Impact of Technology on Governance and Politics: New Globalized Practices</t>
  </si>
  <si>
    <t>JF1525.A8E23858</t>
  </si>
  <si>
    <t>E-Government Success around the World: Cases, Empirical Studies, and Practical Recommendations</t>
  </si>
  <si>
    <t>Gil-Garcia, J. Ramon</t>
  </si>
  <si>
    <t>HD69.P75S873</t>
  </si>
  <si>
    <t>Sustainability Integration for Effective Project Management</t>
  </si>
  <si>
    <t>Silvius, Gilbert</t>
  </si>
  <si>
    <t>LB1028.3.C3255</t>
  </si>
  <si>
    <t>Cases on Educational Technology Planning, Design, and Implementation: A Project Management Perspective</t>
  </si>
  <si>
    <t>Benson, Angela D</t>
  </si>
  <si>
    <t>021.6/4</t>
  </si>
  <si>
    <t>Z672.3.C65</t>
  </si>
  <si>
    <t>Collaboration in International and Comparative Librarianship</t>
  </si>
  <si>
    <t>Chakraborty, Susmita</t>
  </si>
  <si>
    <t>378.1/73468</t>
  </si>
  <si>
    <t>LB2395.7.C435</t>
  </si>
  <si>
    <t>Cases on the Assessment of Scenario and Game-Based Virtual Worlds in Higher Education</t>
  </si>
  <si>
    <t>Kennedy-Clark, Shannon</t>
  </si>
  <si>
    <t>304.2</t>
  </si>
  <si>
    <t>GF75.S38</t>
  </si>
  <si>
    <t>Technology versus Ecology: Human Superiority and the Ongoing Conflict with Nature</t>
  </si>
  <si>
    <t>LB1044.87.P415</t>
  </si>
  <si>
    <t>Pedagogical Considerations and Opportunities for Teaching and Learning on the Web</t>
  </si>
  <si>
    <t>LC5225.L42A36</t>
  </si>
  <si>
    <t>Advanced Research in Adult Learning and Professional Development: Tools, Trends, and Methodologies</t>
  </si>
  <si>
    <t>658.8/1201</t>
  </si>
  <si>
    <t>HF5415.5.P7296</t>
  </si>
  <si>
    <t>Progressive Trends in Knowledge and System-Based Science for Service Innovation</t>
  </si>
  <si>
    <t>Kosaka, Michitaka</t>
  </si>
  <si>
    <t>HD9980.5.I572</t>
  </si>
  <si>
    <t>Innovations in Services Marketing and Management: Strategies for Emerging Economies</t>
  </si>
  <si>
    <t>Goyal, Anita</t>
  </si>
  <si>
    <t>025.2/1</t>
  </si>
  <si>
    <t>Z687.W35</t>
  </si>
  <si>
    <t>Information Technology and Collection Management for Library User Environments</t>
  </si>
  <si>
    <t>Walker, Joseph</t>
  </si>
  <si>
    <t>LB2395.7.E334</t>
  </si>
  <si>
    <t>E-Learning 2.0 Technologies and Web Applications in Higher Education</t>
  </si>
  <si>
    <t>Pelet, Jean-Eric</t>
  </si>
  <si>
    <t>HD30.2.L435</t>
  </si>
  <si>
    <t>Learning Models for Innovation in Organizations: Examining Roles of Knowledge Transfer and Human Resources Management</t>
  </si>
  <si>
    <t>Soliman, Fawzy</t>
  </si>
  <si>
    <t>HD30.2.A67</t>
  </si>
  <si>
    <t>Approaches and Processes for Managing the Economics of Information Systems</t>
  </si>
  <si>
    <t>Tsiakis, Theodosios</t>
  </si>
  <si>
    <t>LB1027.23.P75</t>
  </si>
  <si>
    <t>Promoting Active Learning Through the Flipped Classroom Model</t>
  </si>
  <si>
    <t>LB1028.5.C762</t>
  </si>
  <si>
    <t>Cross-Cultural Online Learning in Higher Education and Corporate Training</t>
  </si>
  <si>
    <t>HM741.G36</t>
  </si>
  <si>
    <t>Gamification for Human Factors Integration: Social, Education, and Psychological Issues</t>
  </si>
  <si>
    <t>Bishop, Jonathan</t>
  </si>
  <si>
    <t>LC5803.C65B85</t>
  </si>
  <si>
    <t>Building Online Communities in Higher Education Institutions: Creating Collaborative Experience</t>
  </si>
  <si>
    <t>Stevenson, Carolyn N.</t>
  </si>
  <si>
    <t>332.1/78</t>
  </si>
  <si>
    <t>HG1710.E478</t>
  </si>
  <si>
    <t>Electronic Payment Systems for Competitive Advantage in E-Commerce</t>
  </si>
  <si>
    <t>Liébana-Cabanillas, Francisco</t>
  </si>
  <si>
    <t>346.9404/82</t>
  </si>
  <si>
    <t>KU1104.C36</t>
  </si>
  <si>
    <t>Authors, Copyright, and Publishing in the Digital Era</t>
  </si>
  <si>
    <t>Cantatore, Francina</t>
  </si>
  <si>
    <t>338.9/27071</t>
  </si>
  <si>
    <t>HC79.E5H3185</t>
  </si>
  <si>
    <t>Handbook of Research on Pedagogical Innovations for Sustainable Development</t>
    <phoneticPr fontId="3" type="noConversion"/>
  </si>
  <si>
    <t>Thomas, Ken D.</t>
  </si>
  <si>
    <t xml:space="preserve">Education </t>
  </si>
  <si>
    <t>LB1028.3.E4232</t>
  </si>
  <si>
    <t>Educational Technology Use and Design for Improved Learning Opportunities</t>
  </si>
  <si>
    <t>LB1044.87.Z89</t>
  </si>
  <si>
    <t>E-Learning as a Socio-Cultural System: A Multidimensional Analysis</t>
  </si>
  <si>
    <t>Zuzevičiūtė, Vaiva</t>
  </si>
  <si>
    <t>302.23/1068</t>
  </si>
  <si>
    <t>HF1008.I4658</t>
  </si>
  <si>
    <t>Integrating Social Media into Business Practice, Applications, Management, and Models</t>
  </si>
  <si>
    <t>HF5415.13.S87767</t>
  </si>
  <si>
    <t>Strategic Marketing in Fragile Economic Conditions</t>
  </si>
  <si>
    <t>Samanta, Irene</t>
  </si>
  <si>
    <t>T58.64.I686</t>
  </si>
  <si>
    <t>Inventive Approaches for Technology Integration and Information Resources Management</t>
  </si>
  <si>
    <t>LC5803.C65.A78</t>
  </si>
  <si>
    <t>Artificial Intelligence Applications in Distance Education</t>
  </si>
  <si>
    <t>Kose, Utku</t>
  </si>
  <si>
    <t>371.334</t>
  </si>
  <si>
    <t>LB1028.5.M577</t>
  </si>
  <si>
    <t>Models for Improving and Optimizing Online and Blended Learning in Higher Education</t>
  </si>
  <si>
    <t>378.1/758</t>
  </si>
  <si>
    <t>LB2395.7.A377</t>
  </si>
  <si>
    <t>Advancing Higher Education with Mobile Learning Technologies: Cases, Trends, and Inquiry-Based Methods</t>
  </si>
  <si>
    <t>658.8/342</t>
  </si>
  <si>
    <t>HF5415.525.K56</t>
  </si>
  <si>
    <t>Developing Churn Models Using Data Mining Techniques and Social Network Analysis</t>
  </si>
  <si>
    <t>Klepac, Goran</t>
  </si>
  <si>
    <t>TK6570.I34R495</t>
  </si>
  <si>
    <t>RFID Technology Integration for Business Performance Improvement</t>
  </si>
  <si>
    <t>371.6/2</t>
  </si>
  <si>
    <t>LB3241.2.M37</t>
  </si>
  <si>
    <t>Marketing the Green School: Form, Function, and the Future</t>
  </si>
  <si>
    <t>Chan, Tak C.</t>
  </si>
  <si>
    <t>LB1028.3.P767</t>
  </si>
  <si>
    <t>Promoting Active Learning through the Integration of Mobile and Ubiquitous Technologies</t>
  </si>
  <si>
    <t>LB2331.53.P763</t>
  </si>
  <si>
    <t>Professional Development Schools and Transformative Partnerships</t>
  </si>
  <si>
    <t>658.0095</t>
  </si>
  <si>
    <t>HD70.A7A725</t>
  </si>
  <si>
    <t>Asian Business and Management Practices: Trends and Global Considerations</t>
  </si>
  <si>
    <t>658/.0546782</t>
  </si>
  <si>
    <t>HD58.8.B8867</t>
  </si>
  <si>
    <t>Business Transformation and Sustainability through Cloud System Implementation</t>
  </si>
  <si>
    <t>HD30.2.K6368773</t>
  </si>
  <si>
    <t>Knowledge Management for Competitive Advantage During Economic Crisis</t>
  </si>
  <si>
    <t>371.102/3</t>
  </si>
  <si>
    <t>LB1033.W8727</t>
  </si>
  <si>
    <t>Student-Teacher Interaction in Online Learning Environments</t>
  </si>
  <si>
    <t>Wright, Robert D.</t>
  </si>
  <si>
    <t>HD45.C383</t>
  </si>
  <si>
    <t>Effects of IT on Enterprise Architecture, Governance, and Growth</t>
  </si>
  <si>
    <t>Cavalcanti, José Carlos</t>
  </si>
  <si>
    <t>HD45.T3966</t>
  </si>
  <si>
    <t>Technology, Innovation, and Enterprise Transformation</t>
  </si>
  <si>
    <t>Wadhwa, Manish</t>
  </si>
  <si>
    <t>658.4/03802856312</t>
  </si>
  <si>
    <t>HD38.7.I5438</t>
  </si>
  <si>
    <t>Integration of Data Mining in Business Intelligence Systems</t>
  </si>
  <si>
    <t>Azevedo, Ana</t>
  </si>
  <si>
    <t>QA76.9.I52E54</t>
  </si>
  <si>
    <t>Enhancing Qualitative and Mixed Methods Research with Technology</t>
  </si>
  <si>
    <t>510.71</t>
  </si>
  <si>
    <t>QA16.C37</t>
  </si>
  <si>
    <t>Cases on Technology Integration in Mathematics Education</t>
  </si>
  <si>
    <t>384.3/30684</t>
  </si>
  <si>
    <t>P95.815.D35</t>
  </si>
  <si>
    <t>Developing Strategic Business Models and Competitive Advantage in the Digital Sector</t>
  </si>
  <si>
    <t>Daidj, Nabyla</t>
  </si>
  <si>
    <t>361.3/2</t>
  </si>
  <si>
    <t>HV10.5.E95</t>
  </si>
  <si>
    <t>Evidence Discovery and Assessment in Social Work Practice</t>
  </si>
  <si>
    <t>Pack, Margaret</t>
  </si>
  <si>
    <t>HF5415.1265.C655</t>
  </si>
  <si>
    <t>Computer-Mediated Marketing Strategies: Social Media and Online Brand Communities</t>
  </si>
  <si>
    <t>Bowen, Gordon</t>
  </si>
  <si>
    <t>154.2</t>
  </si>
  <si>
    <t>BF311.E889</t>
  </si>
  <si>
    <t>Exploring Implicit Cognition: Learning, Memory, and Social Cognitive Processes</t>
  </si>
  <si>
    <t>Jin, Zheng</t>
  </si>
  <si>
    <t>LB1027.23.C66</t>
  </si>
  <si>
    <t>Contemporary Approaches to Activity Theory: Interdisciplinary Perspectives on Human Behavior</t>
  </si>
  <si>
    <t>Hansson, Thomas</t>
  </si>
  <si>
    <t>418/.02071</t>
  </si>
  <si>
    <t>P306.5.H355</t>
  </si>
  <si>
    <t>Handbook of Research on Teaching Methods in Language Translation and Interpretation</t>
  </si>
  <si>
    <t>Cui, Ying</t>
  </si>
  <si>
    <t>808/.042071</t>
  </si>
  <si>
    <t>PE1404.M46</t>
  </si>
  <si>
    <t>Methodologies for Effective Writing Instruction in EFL and ESL Classrooms</t>
  </si>
  <si>
    <t>Al-Mahrooqi, Rahma</t>
  </si>
  <si>
    <t>HC79.E5H328538</t>
  </si>
  <si>
    <t>Handbook of Research on Developing Sustainable Value in Economics, Finance, and Marketing</t>
  </si>
  <si>
    <t>Akkucuk, Ulas</t>
  </si>
  <si>
    <t>378.00721</t>
  </si>
  <si>
    <t>LB2326.3.N48</t>
  </si>
  <si>
    <t>New Voices in Higher Education Research and Scholarship</t>
  </si>
  <si>
    <t>Ribeiro, Filipa M.</t>
  </si>
  <si>
    <t>HF5387.Z44</t>
  </si>
  <si>
    <t>Business Ethics and Diversity in the Modern Workplace</t>
  </si>
  <si>
    <t>Zgheib, Philippe W.</t>
    <phoneticPr fontId="3" type="noConversion"/>
  </si>
  <si>
    <t>384.3/1</t>
  </si>
  <si>
    <t>HD30.37.E96</t>
  </si>
  <si>
    <t>The Evolution of the Internet in the Business Sector: Web 1.0 to Web 3.0</t>
  </si>
  <si>
    <t>Isaías, Pedro</t>
  </si>
  <si>
    <t>JF1525.A8H36188</t>
  </si>
  <si>
    <t>Handbook of Research on Democratic Strategies and Citizen-Centered E-Government Services</t>
  </si>
  <si>
    <t>Dolićanin, Ćemal</t>
  </si>
  <si>
    <t>QA76.9.D343.H48</t>
  </si>
  <si>
    <t>Handbook of Research on Organizational Transformations through Big Data Analytics</t>
  </si>
  <si>
    <t>LB1044.87.A875</t>
  </si>
  <si>
    <t>Assessing the Role of Mobile Technologies and Distance Learning in Higher Education</t>
  </si>
  <si>
    <t>HD58.8.O746</t>
  </si>
  <si>
    <t>Organizational Innovation and IT Governance in Emerging Economies</t>
  </si>
  <si>
    <t>Zhao, Jingyuan</t>
  </si>
  <si>
    <t>507.1/073</t>
  </si>
  <si>
    <t>Q181.S6944</t>
  </si>
  <si>
    <t>STEM Education: Concepts, Methodologies, Tools, and Applications</t>
  </si>
  <si>
    <t>HM742.I55</t>
  </si>
  <si>
    <t>Handbook of Research on Interactive Information Quality in Expanding Social Network Communications</t>
  </si>
  <si>
    <t>Cipolla-Ficarra, Francisco V.</t>
  </si>
  <si>
    <t>HF5415.15.C33</t>
  </si>
  <si>
    <t>Cases on Branding Strategies and Product Development: Successes and Pitfalls</t>
  </si>
  <si>
    <t>Sarma, Sarmistha</t>
  </si>
  <si>
    <t>LC3981.E65</t>
  </si>
  <si>
    <t>Models for Effective Service Delivery in Special Education Programs</t>
  </si>
  <si>
    <t>Epler, Pam</t>
  </si>
  <si>
    <t>070.5</t>
  </si>
  <si>
    <t>Z286.S37H355</t>
  </si>
  <si>
    <t>Handbook of Research on Scholarly Publishing and Research Methods</t>
  </si>
  <si>
    <t>Wang, Victor C. X.</t>
  </si>
  <si>
    <t>020.285/4678</t>
  </si>
  <si>
    <t>Z674.75.S63S64</t>
  </si>
  <si>
    <t>Social Media Strategies for Dynamic Library Service Development</t>
  </si>
  <si>
    <t>Tella, Adeyinka</t>
  </si>
  <si>
    <t>LB1027.23.I46</t>
  </si>
  <si>
    <t>Implementation and Critical Assessment of the Flipped Classroom Experience</t>
  </si>
  <si>
    <t>Scheg, Abigail G.</t>
  </si>
  <si>
    <t>HD69.P75M634</t>
  </si>
  <si>
    <t>Modern Techniques for Successful IT Project Management</t>
  </si>
  <si>
    <t>Gao, Shang</t>
  </si>
  <si>
    <t>332.01/9</t>
  </si>
  <si>
    <t>HG4515.15</t>
  </si>
  <si>
    <t>Handbook of Research on Behavioral Finance and Investment Strategies: Decision Making in the Financial Industry</t>
  </si>
  <si>
    <t>Copur, Zeynep</t>
  </si>
  <si>
    <t>306.3</t>
  </si>
  <si>
    <t>HD75.N3535</t>
  </si>
  <si>
    <t>Nationalism, Cultural Indoctrination, and Economic Prosperity in the Digital Age</t>
  </si>
  <si>
    <t>370.15/23</t>
  </si>
  <si>
    <t>LB1060.T734</t>
  </si>
  <si>
    <t>Transforming the Future of Learning with Educational Research</t>
  </si>
  <si>
    <t>Askell-Williams, Helen</t>
  </si>
  <si>
    <t>HF5415.32.R353</t>
  </si>
  <si>
    <t>Understanding Consumer Behavior and Consumption Experience</t>
  </si>
  <si>
    <t>Rajagopal; Castaño, Raquel</t>
  </si>
  <si>
    <t>338.4/7796</t>
  </si>
  <si>
    <t>GV716.E368</t>
  </si>
  <si>
    <t>Emerging Trends and Innovation in Sports Marketing and Management in Asia</t>
  </si>
  <si>
    <t>Leng, Ho Keat</t>
  </si>
  <si>
    <t>371.35</t>
  </si>
  <si>
    <t>LC5800.I44</t>
  </si>
  <si>
    <t>Identification, Evaluation, and Perceptions of Distance Education Experts</t>
  </si>
  <si>
    <t>HD30.215.S765</t>
  </si>
  <si>
    <t>Strategic Data-Based Wisdom in the Big Data Era</t>
  </si>
  <si>
    <t>Girard, John</t>
  </si>
  <si>
    <t>HF5548.32S768</t>
  </si>
  <si>
    <t>Strategic E-Commerce Systems and Tools for Competing in the Digital Marketplace</t>
  </si>
  <si>
    <t>LB1062.H25</t>
  </si>
  <si>
    <t>Handbook of Research on Maximizing Cognitive Learning through Knowledge Visualization</t>
  </si>
  <si>
    <t>ZA3075.I56</t>
  </si>
  <si>
    <t>Information Seeking Behavior and Technology Adoption: Theories and Trends</t>
  </si>
  <si>
    <t>AI-Suqri, Mohammed Nasser</t>
  </si>
  <si>
    <t>HV551.3.E435</t>
  </si>
  <si>
    <t>Emergency Management and Disaster Response Utilizing Public-Private Partnerships</t>
  </si>
  <si>
    <t>Hamner, Marvine Paula</t>
  </si>
  <si>
    <t>658.3/01</t>
  </si>
  <si>
    <t>HF5549.2.M628C37</t>
  </si>
  <si>
    <t>Cases on Sustainable Human Resources Management in the Middle East and Asia</t>
  </si>
  <si>
    <t>Jones, Stephanie</t>
  </si>
  <si>
    <t>025.2/84</t>
  </si>
  <si>
    <t>Z692.E4215R38</t>
  </si>
  <si>
    <t>Integrating Video Game Research and Practice in Library and Information Science</t>
  </si>
  <si>
    <t>Ratliff, Jacob A.</t>
  </si>
  <si>
    <t>338/.04</t>
  </si>
  <si>
    <t>HD62.4.H3667</t>
  </si>
  <si>
    <t>Handbook of Research on Internationalization of Entrepreneurial Innovation in the Global Economy</t>
  </si>
  <si>
    <t>Carvalho, Luisa Cagica</t>
  </si>
  <si>
    <t>HC79.E5G689294</t>
  </si>
  <si>
    <t>Green Economic Structures in Modern Business and Society</t>
  </si>
  <si>
    <t>371.04</t>
  </si>
  <si>
    <t>LC45.3.M43</t>
  </si>
  <si>
    <t>Measuring and Analyzing Informal Learning in the Digital Age</t>
  </si>
  <si>
    <t>Mejiuni, Olutoyin</t>
  </si>
  <si>
    <t>338.4/791</t>
  </si>
  <si>
    <t>TX911.I66</t>
  </si>
  <si>
    <t>International Tourism and Hospitality in the Digital Age</t>
  </si>
  <si>
    <t>Kumar, Suresh</t>
  </si>
  <si>
    <t>371.3344678</t>
  </si>
  <si>
    <t>LC5800.F87</t>
  </si>
  <si>
    <t>Furthering Higher Education Possibilities through Massive Open Online Courses</t>
  </si>
  <si>
    <t>HF5429 .S795</t>
  </si>
  <si>
    <t>Successful Technological Integration for Competitive Advantage in Retail Settings</t>
  </si>
  <si>
    <t>HD58.82.B74</t>
  </si>
  <si>
    <t>Organizational Knowledge Dynamics: Managing Knowledge Creation, Acquisition, Sharing, and Transformation</t>
  </si>
  <si>
    <t>Bratianu, Constantin</t>
  </si>
  <si>
    <t>378.1/2082</t>
  </si>
  <si>
    <t>LB2332.3.S87</t>
  </si>
  <si>
    <t>Supporting Multiculturalism and Gender Diversity in University Settings</t>
  </si>
  <si>
    <t>Zhou, Molly Y.</t>
  </si>
  <si>
    <t>LB1044.87.M23</t>
  </si>
  <si>
    <t>Macro-Level Learning through Massive Open Online Courses (MOOCs): Strategies and Predictions for the Future</t>
  </si>
  <si>
    <t>658.3/14</t>
  </si>
  <si>
    <t>HF5549.5.P37C37</t>
  </si>
  <si>
    <t>Cases on Human Performance Improvement Technologies</t>
  </si>
  <si>
    <t>Stefaniak, Jill E.</t>
  </si>
  <si>
    <t>T14.5.S63836</t>
  </si>
  <si>
    <t>Societal Benefits of Freely Accessible Technologies and Knowledge Resources</t>
  </si>
  <si>
    <t>Terán, Oswaldo</t>
  </si>
  <si>
    <t>T58.64.E676</t>
  </si>
  <si>
    <t>Enterprise Management Strategies in the Era of Cloud Computing</t>
  </si>
  <si>
    <t>Rao, N. Raghavendra</t>
  </si>
  <si>
    <t>HF6146.P78E54</t>
  </si>
  <si>
    <t>Engaging Consumers through Branded Entertainment and Convergent Media</t>
  </si>
  <si>
    <t>Parreno, Jose Marti</t>
  </si>
  <si>
    <t>338.6/048</t>
  </si>
  <si>
    <t>HB238.H36</t>
  </si>
  <si>
    <t>Handbook of Research on Global Competitive Advantage through Innovation and Entrepreneurship</t>
  </si>
  <si>
    <t>Farinha, Luis M. Carmo</t>
  </si>
  <si>
    <t>HF5415.1265.H3566</t>
  </si>
  <si>
    <t>Handbook of Research on Integrating Social Media into Strategic Marketing</t>
  </si>
  <si>
    <t>Hajli, Nick</t>
    <phoneticPr fontId="3" type="noConversion"/>
  </si>
  <si>
    <t>LB1028.3.H3554</t>
  </si>
  <si>
    <t>Handbook of Research on Educational Technology Integration and Active Learning</t>
  </si>
  <si>
    <t>025.1/977</t>
  </si>
  <si>
    <t>Z675.U5I576</t>
  </si>
  <si>
    <t>Innovative Solutions for Building Community in Academic Libraries</t>
  </si>
  <si>
    <t>Bonnand, Sheila</t>
  </si>
  <si>
    <t>370.71/1</t>
  </si>
  <si>
    <t>LB1707.H3544</t>
  </si>
  <si>
    <t>Handbook of Research on Teacher Education in the Digital Age</t>
  </si>
  <si>
    <t>Niess, Margaret L.</t>
  </si>
  <si>
    <t>HF5415.13.M36759</t>
  </si>
  <si>
    <t>Maximizing Commerce and Marketing Strategies through Micro-Blogging</t>
  </si>
  <si>
    <t>Burkhalter, Janée N.</t>
  </si>
  <si>
    <t>378.007</t>
  </si>
  <si>
    <t>BF441.H283</t>
  </si>
  <si>
    <t>Handbook of Research on Advancing Critical Thinking in Higher Education</t>
  </si>
  <si>
    <t>Wisdom, Sherrie</t>
  </si>
  <si>
    <t>005.709561</t>
  </si>
  <si>
    <t>QA76.9.I52G46</t>
  </si>
  <si>
    <t>Geo-Intelligence and Visualization through Big Data Trends</t>
  </si>
  <si>
    <t>Bozkaya, Burçin</t>
  </si>
  <si>
    <t>802.85 22</t>
  </si>
  <si>
    <t>PN56.I64 L57 2010</t>
  </si>
  <si>
    <t>Literary Education and Digital Learning: Methods and Technologies for Humanities Studies</t>
  </si>
  <si>
    <t>Peer, Willie van</t>
  </si>
  <si>
    <t>004.67/8071</t>
  </si>
  <si>
    <t>LB1028.3 .T39663 2012</t>
  </si>
  <si>
    <t>Technologies for Enhancing Pedagogy, Engagement and Empowerment in Education: Creating Learning-Friendly Environments</t>
  </si>
  <si>
    <t>Lê, Thao</t>
  </si>
  <si>
    <t>372.37/3</t>
  </si>
  <si>
    <t>LB1731.4 .T457 2011</t>
  </si>
  <si>
    <t>Telementoring in the K-12 Classroom: Online Communication Technologies for Learning</t>
  </si>
  <si>
    <t>Scigliano, Deborah A.</t>
  </si>
  <si>
    <t>Medicine</t>
  </si>
  <si>
    <t>362.1</t>
  </si>
  <si>
    <t>RA427.8</t>
  </si>
  <si>
    <t>Handbook of Research on Adult and Community Health Education: Tools, Trends, and Methodologies</t>
  </si>
  <si>
    <t>Healthcare Informatics and Analytics: Emerging Issues and Trends</t>
  </si>
  <si>
    <t>Laboratory Management Information Systems: Current Requirements and Future Perspectives</t>
  </si>
  <si>
    <t>617.6/43075</t>
  </si>
  <si>
    <t>RK523</t>
  </si>
  <si>
    <t>Handbook of Research on Computerized Occlusal Analysis Technology Applications in Dental Medicine</t>
  </si>
  <si>
    <t>Kerstein, Robert B.</t>
  </si>
  <si>
    <t>Big Data Analytics in Bioinformatics and Healthcare</t>
  </si>
  <si>
    <t>Wang, Baoying</t>
  </si>
  <si>
    <t>HV1569.5.A8234</t>
  </si>
  <si>
    <t>Assistive Technologies for Physical and Cognitive Disabilities</t>
  </si>
  <si>
    <t>616.8/300285</t>
  </si>
  <si>
    <t>RC521</t>
  </si>
  <si>
    <t>Advanced Technological Solutions for E-Health and Dementia Patient Monitoring</t>
    <phoneticPr fontId="3" type="noConversion"/>
  </si>
  <si>
    <t>Xhafa, Fatos</t>
  </si>
  <si>
    <t>Innovative Collaborative Practice and Reflection in Patient Education</t>
  </si>
  <si>
    <t>Bird, Jennifer Lynne</t>
  </si>
  <si>
    <t>616.8/31</t>
  </si>
  <si>
    <t>RC523</t>
  </si>
  <si>
    <t>Handbook of Research on Innovations in the Diagnosis and Treatment of Dementia</t>
  </si>
  <si>
    <t>Bamidis, Panagiotis D.</t>
  </si>
  <si>
    <t>362.3</t>
  </si>
  <si>
    <t>HV1569.5.R43</t>
  </si>
  <si>
    <t>Recent Advances in Assistive Technologies to Support Children with Developmental Disorders</t>
  </si>
  <si>
    <t>Silton, Nava R.</t>
  </si>
  <si>
    <t>Medical Information Science Reference</t>
    <phoneticPr fontId="3" type="noConversion"/>
  </si>
  <si>
    <t>572.8028522</t>
  </si>
  <si>
    <t>T65.3.T44</t>
  </si>
  <si>
    <t>Symmetrical Analysis Techniques for Genetic Systems and Bioinformatics: Advanced Patterns and Applications</t>
  </si>
  <si>
    <t>Petoukhov, Sergey</t>
  </si>
  <si>
    <t>572.8/65 22</t>
  </si>
  <si>
    <t>QA76.76.O63A364</t>
  </si>
  <si>
    <t>Handbook of Research on Computational Methodologies in Gene Regulatory Networks</t>
  </si>
  <si>
    <t>Das, Sanjoy</t>
  </si>
  <si>
    <t>Interdisciplinary Advancements in Gaming, Simulations and Virtual Environments: Emerging Trends</t>
  </si>
  <si>
    <t>TK5105.88813.W3385</t>
  </si>
  <si>
    <t>Web Service Composition and New Frameworks in Designing Semantics: Innovations</t>
  </si>
  <si>
    <t>Hung, Patrick</t>
  </si>
  <si>
    <t>384.5/3</t>
  </si>
  <si>
    <t>TK5103.2.M63135</t>
  </si>
  <si>
    <t>Mobile Services Industries, Technologies, and Applications in the Global Economy</t>
  </si>
  <si>
    <t>QA76.55.I58</t>
  </si>
  <si>
    <t>Integrated Information and Computing Systems for Natural, Spatial, and Social Sciences</t>
  </si>
  <si>
    <t>Rückemann, Claus-Peter</t>
  </si>
  <si>
    <t>TK5103.2.I518</t>
  </si>
  <si>
    <t>Integrated Models for Information Communication Systems and Networks: Design and Development</t>
  </si>
  <si>
    <t>Atayero, Aderemi Aaron Anthony</t>
  </si>
  <si>
    <t>TE228.37.R63</t>
  </si>
  <si>
    <t>Roadside Networks for Vehicular Communications: Architectures, Applications, and Test Fields</t>
  </si>
  <si>
    <t>Daher, Robil</t>
  </si>
  <si>
    <t>005.8</t>
    <phoneticPr fontId="3" type="noConversion"/>
  </si>
  <si>
    <t>TK5105.59.D48</t>
  </si>
  <si>
    <t>Developing and Evaluating Security-Aware Software Systems</t>
  </si>
  <si>
    <t>025.04072</t>
    <phoneticPr fontId="3" type="noConversion"/>
  </si>
  <si>
    <t>Z699.5.R47I54</t>
  </si>
  <si>
    <t>Information Systems Research and Exploring Social Artifacts: Approaches and Methodologies</t>
  </si>
  <si>
    <t>Isaias, Pedro</t>
  </si>
  <si>
    <t>780.285/674</t>
  </si>
  <si>
    <t>ML74.S77</t>
  </si>
  <si>
    <t>Structuring Music through Markup Language: Designs and Architectures</t>
  </si>
  <si>
    <t>Steyn, Jacques</t>
  </si>
  <si>
    <t>005.3</t>
    <phoneticPr fontId="3" type="noConversion"/>
  </si>
  <si>
    <t>QA76.76.S46O628</t>
  </si>
  <si>
    <t>Open Source Software Dynamics, Processes, and Applications</t>
  </si>
  <si>
    <t>005.1</t>
    <phoneticPr fontId="3" type="noConversion"/>
  </si>
  <si>
    <t>QA76.758.D474</t>
  </si>
  <si>
    <t>Designing, Engineering, and Analyzing Reliable and Efficient Software</t>
  </si>
  <si>
    <t>Singh, Hardeep</t>
  </si>
  <si>
    <t>384.068/4</t>
  </si>
  <si>
    <t>TK5102.85.C75</t>
  </si>
  <si>
    <t>Critical Information Infrastructure Protection and Resilience in the ICT Sector</t>
  </si>
  <si>
    <t>Théron, Paul</t>
  </si>
  <si>
    <t>QA76.758.S6446</t>
  </si>
  <si>
    <t>Software Development Techniques for Constructive Information Systems Design</t>
  </si>
  <si>
    <t>Buragga, Khalid A.</t>
  </si>
  <si>
    <t>003</t>
    <phoneticPr fontId="3" type="noConversion"/>
  </si>
  <si>
    <t>QA76.9.S88F715</t>
  </si>
  <si>
    <t>Frameworks for Developing Efficient Information Systems: Models, Theory, and Practice</t>
  </si>
  <si>
    <t>Krogstie, John</t>
  </si>
  <si>
    <t>TK5105.875.I57S6676</t>
  </si>
  <si>
    <t>Solutions for Sustaining Scalability in Internet Growth</t>
  </si>
  <si>
    <t>Boucadair, Mohamed</t>
  </si>
  <si>
    <t>808/.0420785</t>
  </si>
  <si>
    <t>PE1404.E96</t>
  </si>
  <si>
    <t>Exploring Multimodal Composition and Digital Writing</t>
  </si>
  <si>
    <t>QA76.9.A25A73</t>
  </si>
  <si>
    <t>Architectures and Protocols for Secure Information Technology Infrastructures</t>
  </si>
  <si>
    <t>Ruiz-Martinez, Antonio</t>
  </si>
  <si>
    <t>001</t>
    <phoneticPr fontId="3" type="noConversion"/>
  </si>
  <si>
    <t>HD30.2</t>
  </si>
  <si>
    <t>Computational Solutions for Knowledge, Art, and Entertainment: Information Exchange Beyond Text</t>
  </si>
  <si>
    <t>720.285</t>
  </si>
  <si>
    <t>NA1996.5.K68</t>
  </si>
  <si>
    <t>Computer-Mediated Briefing for Architects</t>
  </si>
  <si>
    <t>Koutamanis, Alexander</t>
  </si>
  <si>
    <t>TK5103.2.S444</t>
  </si>
  <si>
    <t>Security, Privacy, Trust, and Resource Management in Mobile and Wireless Communications</t>
  </si>
  <si>
    <t>Rawat, Danda B.</t>
  </si>
  <si>
    <t>HF5548.37.A527</t>
  </si>
  <si>
    <t>Analyzing Security, Trust, and Crime in the Digital World</t>
  </si>
  <si>
    <t>502.85/63</t>
  </si>
  <si>
    <t>QA273.M3836</t>
  </si>
  <si>
    <t>Mathematics of Uncertainty Modeling in the Analysis of Engineering and Science Problems</t>
  </si>
  <si>
    <t>Chakraverty, S.</t>
  </si>
  <si>
    <t>302.23</t>
  </si>
  <si>
    <t>P90.C62914</t>
  </si>
  <si>
    <t>Communication and Language Analysis in the Public Sphere</t>
  </si>
  <si>
    <t>Hart, Roderick P.</t>
  </si>
  <si>
    <t>HM742.N494</t>
  </si>
  <si>
    <t>New Media and Communication Across Religions and Cultures</t>
  </si>
  <si>
    <t>Nahon-Serfaty, Isaac</t>
  </si>
  <si>
    <t>QA76.76.D47A3823</t>
  </si>
  <si>
    <t>Agile Estimation Techniques and Innovative Approaches to Software Process Improvement</t>
  </si>
  <si>
    <t>004.67/82</t>
  </si>
  <si>
    <t>QA76.585.H364</t>
  </si>
  <si>
    <t>Handbook of Research on High Performance and Cloud Computing in Scientific Research and Education</t>
    <phoneticPr fontId="3" type="noConversion"/>
  </si>
  <si>
    <t>Despotovi?-Zraki?, Marijana</t>
  </si>
  <si>
    <t>QA76.9.A25M846</t>
  </si>
  <si>
    <t>Multidisciplinary Perspectives in Cryptology and Information Security</t>
  </si>
  <si>
    <t>Al Maliky, Sattar B. Sadkhan</t>
  </si>
  <si>
    <t>620.5</t>
    <phoneticPr fontId="3" type="noConversion"/>
  </si>
  <si>
    <t>T174.7.H367</t>
  </si>
  <si>
    <t>Handbook of Research on Nanoscience, Nanotechnology, and Advanced Materials</t>
  </si>
  <si>
    <t>Bououdina, Mohamed</t>
  </si>
  <si>
    <t>620.1/1272</t>
  </si>
  <si>
    <t>TA417.25.G83</t>
  </si>
  <si>
    <t>X-Ray Line Profile Analysis in Materials Science</t>
  </si>
  <si>
    <t>P98.C61215</t>
  </si>
  <si>
    <t>Computational Linguistics: Concepts, Methodologies, Tools, and Applications</t>
  </si>
  <si>
    <t>003/.72015193</t>
  </si>
  <si>
    <t>HB144.K56</t>
  </si>
  <si>
    <t>Game Theory Applications in Network Design</t>
  </si>
  <si>
    <t>Kim, Sungwook</t>
  </si>
  <si>
    <t>616.7/407547</t>
  </si>
  <si>
    <t>RC77.5</t>
  </si>
  <si>
    <t>Applications, Challenges, and Advancements in Electromyography Signal Processing</t>
  </si>
  <si>
    <t>Naik, Ganesh R.</t>
  </si>
  <si>
    <t>QA76.76.D47S954</t>
  </si>
  <si>
    <t>Systems and Software Development, Modeling, and Analysis: New Perspectives and Methodologies</t>
  </si>
  <si>
    <t xml:space="preserve">Media and Communications </t>
  </si>
  <si>
    <t>006.7/5</t>
  </si>
  <si>
    <t>QA76.9.E57D54</t>
  </si>
  <si>
    <t>Digital Arts and Entertainment: Concepts, Methodologies, Tools, and Applications</t>
  </si>
  <si>
    <t>HM851.I5683</t>
  </si>
  <si>
    <t>Interdisciplinary Mobile Media and Communications: Social, Political, and Economic Implications</t>
  </si>
  <si>
    <t>Xu, Xiaoge</t>
  </si>
  <si>
    <t>QA76.9.H8H86</t>
  </si>
  <si>
    <t>Human-Computer Interfaces and Interactivity: Emergent Research and Applications</t>
  </si>
  <si>
    <t>TA418.9.N35N35637</t>
  </si>
  <si>
    <t>Nanotechnology Applications for Improvements in Energy Efficiency and Environmental Management</t>
  </si>
  <si>
    <t>Shah, M. A.</t>
  </si>
  <si>
    <t>HV6773.H375</t>
  </si>
  <si>
    <t>Handbook of Research on Digital Crime, Cyberspace Security, and Information Assurance</t>
  </si>
  <si>
    <t>006.3/824</t>
  </si>
  <si>
    <t>Q337.3.E537</t>
  </si>
  <si>
    <t>Emerging Research on Swarm Intelligence and Algorithm Optimization</t>
  </si>
  <si>
    <t>620/5</t>
  </si>
  <si>
    <t>T174.7.H375</t>
  </si>
  <si>
    <t>Handbook of Research on Diverse Applications of Nanotechnology in Biomedicine, Chemistry, and Engineering</t>
  </si>
  <si>
    <t>Soni, Shivani</t>
  </si>
  <si>
    <t>QA76.625.A44</t>
  </si>
  <si>
    <t>Frameworks, Methodologies, and Tools for Developing Rich Internet Applications</t>
  </si>
  <si>
    <t>Alor-Hernández, Giner</t>
  </si>
  <si>
    <t>QA76.76.D47H842</t>
  </si>
  <si>
    <t>Human Factors in Software Development and Design</t>
  </si>
  <si>
    <t>621.382/75</t>
  </si>
  <si>
    <t>TK5103.592.F52A23</t>
  </si>
  <si>
    <t>Optical Transmission and Networks for Next Generation Internet Traffic Highways</t>
  </si>
  <si>
    <t>Abbou, Fouad Mohammed</t>
  </si>
  <si>
    <t>TK5105.59.A393</t>
  </si>
  <si>
    <t>Handbook of Research on Threat Detection and Countermeasures in Network Security</t>
    <phoneticPr fontId="3" type="noConversion"/>
  </si>
  <si>
    <t>Al-Hamami, Alaa Hussein</t>
  </si>
  <si>
    <t>TK7874.78.P47</t>
  </si>
  <si>
    <t>Performance Optimization Techniques in Analog, Mixed-Signal, and Radio-Frequency Circuit Design</t>
  </si>
  <si>
    <t>Fakhfakh, Mourad</t>
  </si>
  <si>
    <t>QA76.76.S46O635</t>
  </si>
  <si>
    <t>Open Source Technology: Concepts, Methodologies, Tools, and Applications</t>
  </si>
  <si>
    <t>629.8/9563</t>
  </si>
  <si>
    <t>TJ213.H3145</t>
  </si>
  <si>
    <t>Handbook of Research on Advanced Intelligent Control Engineering and Automation</t>
  </si>
  <si>
    <t>Azar, Ahmad Taher</t>
  </si>
  <si>
    <t>005.1071</t>
  </si>
  <si>
    <t>QA76.6.I523</t>
  </si>
  <si>
    <t>Innovative Teaching Strategies and New Learning Paradigms in Computer Programming</t>
  </si>
  <si>
    <t>Queirós, Ricardo</t>
  </si>
  <si>
    <t>TK7895.E43K75</t>
  </si>
  <si>
    <t>Challenges, Opportunities, and Dimensions of Cyber-Physical Systems</t>
  </si>
  <si>
    <t>Krishna, P. Venkata</t>
  </si>
  <si>
    <t>628</t>
  </si>
  <si>
    <t>TA170.H36</t>
  </si>
  <si>
    <t>Handbook of Research on Advancements in Environmental Engineering</t>
  </si>
  <si>
    <t>Gaurina-Medjimurec, Nediljka</t>
  </si>
  <si>
    <t>TJ211.H264</t>
  </si>
  <si>
    <t>Handbook of Research on Advancements in Robotics and Mechatronics</t>
  </si>
  <si>
    <t>HM742.I47</t>
  </si>
  <si>
    <t>Implications of Social Media Use in Personal and Professional Settings</t>
  </si>
  <si>
    <t>Benson, Vladlena</t>
  </si>
  <si>
    <t>621.8/9</t>
  </si>
  <si>
    <t>TS655.T474</t>
  </si>
  <si>
    <t>Thermal Sprayed Coatings and their Tribological Performances</t>
  </si>
  <si>
    <t>Roy, Manish</t>
  </si>
  <si>
    <t>TA418.9.C6P736</t>
  </si>
  <si>
    <t>Processing Techniques and Tribological Behavior of Composite Materials</t>
  </si>
  <si>
    <t>Tyagi, Rajnesh</t>
  </si>
  <si>
    <t>174/.962</t>
  </si>
  <si>
    <t>TA157.C623</t>
  </si>
  <si>
    <t>Contemporary Ethical Issues in Engineering</t>
  </si>
  <si>
    <t>Sethy, Satya Sundar</t>
  </si>
  <si>
    <t>615.1/9</t>
  </si>
  <si>
    <t>RS420</t>
  </si>
  <si>
    <t>Quantitative Structure-Activity Relationships in Drug Design, Predictive Toxicology, and Risk Assessment</t>
  </si>
  <si>
    <t>Roy, Kunal</t>
  </si>
  <si>
    <t>TK5105.88815.A78</t>
  </si>
  <si>
    <t>Artificial Intelligence Technologies and the Evolution of Web 3.0</t>
  </si>
  <si>
    <t>HT166.E473</t>
  </si>
  <si>
    <t>Emerging Issues, Challenges, and Opportunities in Urban E-Planning</t>
  </si>
  <si>
    <t>HM851.H3483</t>
  </si>
  <si>
    <t>Handbook of Research on Digital Media and Creative Technologies</t>
  </si>
  <si>
    <t>HD58.8.D443</t>
  </si>
  <si>
    <t>Delivery and Adoption of Cloud Computing Services in Contemporary Organizations</t>
  </si>
  <si>
    <t>Chang, Victor</t>
  </si>
  <si>
    <t>QA76.585.E54</t>
  </si>
  <si>
    <t>Emerging Research in Cloud Distributed Computing Systems</t>
  </si>
  <si>
    <t>QA76.585.R38</t>
  </si>
  <si>
    <t>Resource Management of Mobile Cloud Computing Networks and Environments</t>
  </si>
  <si>
    <t>Mastorakis, George</t>
  </si>
  <si>
    <t>TK2897.I56</t>
  </si>
  <si>
    <t>Innovative Materials and Systems for Energy Harvesting Applications</t>
  </si>
  <si>
    <t>Mescia, Luciano</t>
  </si>
  <si>
    <t>620.00285/63824</t>
  </si>
  <si>
    <t>Q337.3.H36</t>
  </si>
  <si>
    <t>Handbook of Research on Swarm Intelligence in Engineering</t>
  </si>
  <si>
    <t>Bhattacharyya, Siddhartha</t>
  </si>
  <si>
    <t>333.95/6</t>
  </si>
  <si>
    <t>QH541.5.S3P76</t>
  </si>
  <si>
    <t>Progressive Engineering Practices in Marine Resource Management</t>
  </si>
  <si>
    <t>Zlateva, Ivelina</t>
  </si>
  <si>
    <t>TK5105.5.H3663</t>
  </si>
  <si>
    <t>Handbook of Research on Redesigning the Future of Internet Architectures</t>
    <phoneticPr fontId="3" type="noConversion"/>
  </si>
  <si>
    <t>777/.7</t>
  </si>
  <si>
    <t>TR897.74.N49</t>
  </si>
  <si>
    <t>New Opportunities for Artistic Practice in Virtual Worlds</t>
  </si>
  <si>
    <t>Doyle, Denise</t>
  </si>
  <si>
    <t>QA76.585.H3646</t>
  </si>
  <si>
    <t>Handbook of Research on Security Considerations in Cloud Computing</t>
  </si>
  <si>
    <t>Munir, Kashif</t>
  </si>
  <si>
    <t>364.4</t>
  </si>
  <si>
    <t>HV6773.15.C97C923</t>
  </si>
  <si>
    <t>Cybersecurity Policies and Strategies for Cyberwarfare Prevention</t>
  </si>
  <si>
    <t>Richet, Jean-Loup</t>
  </si>
  <si>
    <t>384.01/15</t>
  </si>
  <si>
    <t>T57.6 .T39 2010</t>
  </si>
  <si>
    <t>Using Activity Domain Theory for Managing Complex Systems</t>
  </si>
  <si>
    <t>Taxen, Lars</t>
  </si>
  <si>
    <t>621.31 22</t>
  </si>
  <si>
    <t>TK1001 .A586 2010</t>
  </si>
  <si>
    <t>Technologies for Electrical Power Conversion, Efficiency, and Distribution: Methods and Processes</t>
  </si>
  <si>
    <t>Antchev, Mihail</t>
  </si>
  <si>
    <t>QA76.9.D5 L37 2010</t>
  </si>
  <si>
    <t>Large-Scale Distributed Computing and Applications: Models and Trends</t>
  </si>
  <si>
    <t>Cristea, Valentin</t>
  </si>
  <si>
    <t>630.72</t>
  </si>
  <si>
    <t>S540.D38 C66 2011</t>
  </si>
  <si>
    <t>Computational Methods for Agricultural Research: Advances and Applications</t>
  </si>
  <si>
    <t>Prado, Hércules Antonio do</t>
  </si>
  <si>
    <t>371.33`44678</t>
    <phoneticPr fontId="3" type="noConversion"/>
  </si>
  <si>
    <t>LB1044.87.T43</t>
  </si>
  <si>
    <t>Techniques for Fostering Collaboration in Online Learning Communities: Theoretical and Practical Perspectives</t>
  </si>
  <si>
    <t>Pozzi, Francesca</t>
  </si>
  <si>
    <t>371.33</t>
    <phoneticPr fontId="3" type="noConversion"/>
  </si>
  <si>
    <t>LB1028.3</t>
    <phoneticPr fontId="3" type="noConversion"/>
  </si>
  <si>
    <t>Transforming K-12 Classrooms with Digital Technology</t>
  </si>
  <si>
    <t>Yang, Zongkai</t>
  </si>
  <si>
    <t>http://services.igi-global.com/resolvedoi/resolve.aspx?doi=10.4018/978-1-46664-538-7</t>
    <phoneticPr fontId="3" type="noConversion"/>
  </si>
  <si>
    <t>371.3301/9</t>
    <phoneticPr fontId="3" type="noConversion"/>
  </si>
  <si>
    <t>LB1028.3</t>
  </si>
  <si>
    <t>Student Reactions to Learning with Technologies: Perceptions and Outcomes</t>
  </si>
  <si>
    <t>Moyle, Kathryn</t>
  </si>
  <si>
    <t>http://services.igi-global.com/resolvedoi/resolve.aspx?doi=10.4018/978-1-61350-177-1</t>
    <phoneticPr fontId="3" type="noConversion"/>
  </si>
  <si>
    <r>
      <rPr>
        <sz val="12"/>
        <color indexed="8"/>
        <rFont val="新細明體"/>
        <family val="1"/>
        <charset val="136"/>
      </rPr>
      <t>序號</t>
    </r>
    <phoneticPr fontId="3" type="noConversion"/>
  </si>
  <si>
    <r>
      <rPr>
        <sz val="12"/>
        <color indexed="8"/>
        <rFont val="新細明體"/>
        <family val="1"/>
        <charset val="136"/>
      </rPr>
      <t>主題</t>
    </r>
  </si>
  <si>
    <r>
      <rPr>
        <sz val="12"/>
        <color indexed="8"/>
        <rFont val="新細明體"/>
        <family val="1"/>
        <charset val="136"/>
      </rPr>
      <t>次主題</t>
    </r>
  </si>
  <si>
    <r>
      <rPr>
        <sz val="12"/>
        <rFont val="新細明體"/>
        <family val="1"/>
        <charset val="136"/>
      </rPr>
      <t>杜威十進分類號</t>
    </r>
  </si>
  <si>
    <r>
      <rPr>
        <sz val="12"/>
        <rFont val="新細明體"/>
        <family val="1"/>
        <charset val="136"/>
      </rPr>
      <t>國會分類號</t>
    </r>
  </si>
  <si>
    <r>
      <rPr>
        <sz val="12"/>
        <color indexed="8"/>
        <rFont val="新細明體"/>
        <family val="1"/>
        <charset val="136"/>
      </rPr>
      <t>電子書</t>
    </r>
    <r>
      <rPr>
        <sz val="12"/>
        <color indexed="8"/>
        <rFont val="Times New Roman"/>
        <family val="1"/>
      </rPr>
      <t>13</t>
    </r>
    <r>
      <rPr>
        <sz val="12"/>
        <color indexed="8"/>
        <rFont val="新細明體"/>
        <family val="1"/>
        <charset val="136"/>
      </rPr>
      <t>碼</t>
    </r>
    <r>
      <rPr>
        <sz val="12"/>
        <color indexed="8"/>
        <rFont val="Times New Roman"/>
        <family val="1"/>
      </rPr>
      <t>ISBN</t>
    </r>
  </si>
  <si>
    <r>
      <rPr>
        <sz val="12"/>
        <color indexed="8"/>
        <rFont val="新細明體"/>
        <family val="1"/>
        <charset val="136"/>
      </rPr>
      <t>紙本</t>
    </r>
    <r>
      <rPr>
        <sz val="12"/>
        <color indexed="8"/>
        <rFont val="Times New Roman"/>
        <family val="1"/>
      </rPr>
      <t>ISBN</t>
    </r>
  </si>
  <si>
    <r>
      <rPr>
        <sz val="12"/>
        <color indexed="8"/>
        <rFont val="新細明體"/>
        <family val="1"/>
        <charset val="136"/>
      </rPr>
      <t>題名</t>
    </r>
  </si>
  <si>
    <r>
      <rPr>
        <sz val="12"/>
        <color indexed="8"/>
        <rFont val="新細明體"/>
        <family val="1"/>
        <charset val="136"/>
      </rPr>
      <t>冊數</t>
    </r>
  </si>
  <si>
    <r>
      <rPr>
        <sz val="12"/>
        <color indexed="8"/>
        <rFont val="新細明體"/>
        <family val="1"/>
        <charset val="136"/>
      </rPr>
      <t>版次</t>
    </r>
  </si>
  <si>
    <r>
      <rPr>
        <sz val="12"/>
        <color indexed="8"/>
        <rFont val="新細明體"/>
        <family val="1"/>
        <charset val="136"/>
      </rPr>
      <t>作者</t>
    </r>
  </si>
  <si>
    <r>
      <rPr>
        <sz val="12"/>
        <color indexed="8"/>
        <rFont val="新細明體"/>
        <family val="1"/>
        <charset val="136"/>
      </rPr>
      <t>出版者</t>
    </r>
  </si>
  <si>
    <r>
      <rPr>
        <sz val="12"/>
        <color indexed="8"/>
        <rFont val="新細明體"/>
        <family val="1"/>
        <charset val="136"/>
      </rPr>
      <t>連結</t>
    </r>
    <phoneticPr fontId="3" type="noConversion"/>
  </si>
  <si>
    <t>Gubicza, Jenő</t>
    <phoneticPr fontId="3" type="noConversion"/>
  </si>
  <si>
    <r>
      <rPr>
        <sz val="12"/>
        <color indexed="8"/>
        <rFont val="新細明體"/>
        <family val="1"/>
        <charset val="136"/>
      </rPr>
      <t>總冊數</t>
    </r>
    <phoneticPr fontId="3" type="noConversion"/>
  </si>
  <si>
    <t>出版年</t>
    <phoneticPr fontId="3" type="noConversion"/>
  </si>
  <si>
    <r>
      <rPr>
        <sz val="12"/>
        <rFont val="新細明體"/>
        <family val="1"/>
        <charset val="136"/>
      </rPr>
      <t>序號</t>
    </r>
    <phoneticPr fontId="3" type="noConversion"/>
  </si>
  <si>
    <r>
      <rPr>
        <sz val="12"/>
        <rFont val="新細明體"/>
        <family val="1"/>
        <charset val="136"/>
      </rPr>
      <t>主題</t>
    </r>
  </si>
  <si>
    <r>
      <rPr>
        <sz val="12"/>
        <rFont val="新細明體"/>
        <family val="1"/>
        <charset val="136"/>
      </rPr>
      <t>次主題</t>
    </r>
  </si>
  <si>
    <r>
      <rPr>
        <sz val="12"/>
        <rFont val="新細明體"/>
        <family val="1"/>
        <charset val="136"/>
      </rPr>
      <t>電子書</t>
    </r>
    <r>
      <rPr>
        <sz val="12"/>
        <rFont val="Times New Roman"/>
        <family val="1"/>
      </rPr>
      <t>ISBN</t>
    </r>
    <phoneticPr fontId="14" type="noConversion"/>
  </si>
  <si>
    <r>
      <rPr>
        <sz val="12"/>
        <rFont val="新細明體"/>
        <family val="1"/>
        <charset val="136"/>
      </rPr>
      <t>紙本</t>
    </r>
    <r>
      <rPr>
        <sz val="12"/>
        <rFont val="Times New Roman"/>
        <family val="1"/>
      </rPr>
      <t>ISBN</t>
    </r>
  </si>
  <si>
    <r>
      <rPr>
        <sz val="12"/>
        <rFont val="新細明體"/>
        <family val="1"/>
        <charset val="136"/>
      </rPr>
      <t>題名</t>
    </r>
  </si>
  <si>
    <r>
      <rPr>
        <sz val="12"/>
        <rFont val="新細明體"/>
        <family val="1"/>
        <charset val="136"/>
      </rPr>
      <t>冊數</t>
    </r>
  </si>
  <si>
    <r>
      <rPr>
        <sz val="12"/>
        <rFont val="新細明體"/>
        <family val="1"/>
        <charset val="136"/>
      </rPr>
      <t>版次</t>
    </r>
  </si>
  <si>
    <t>作者</t>
    <phoneticPr fontId="14" type="noConversion"/>
  </si>
  <si>
    <r>
      <rPr>
        <sz val="12"/>
        <rFont val="新細明體"/>
        <family val="1"/>
        <charset val="136"/>
      </rPr>
      <t>出版者</t>
    </r>
  </si>
  <si>
    <t>出版年</t>
    <phoneticPr fontId="14" type="noConversion"/>
  </si>
  <si>
    <r>
      <rPr>
        <sz val="12"/>
        <rFont val="新細明體"/>
        <family val="1"/>
        <charset val="136"/>
      </rPr>
      <t>連結</t>
    </r>
    <phoneticPr fontId="3" type="noConversion"/>
  </si>
  <si>
    <t>備註</t>
    <phoneticPr fontId="3" type="noConversion"/>
  </si>
  <si>
    <t>HD58.9.M86</t>
  </si>
  <si>
    <t>9781466672376</t>
  </si>
  <si>
    <t>9781466672369</t>
  </si>
  <si>
    <t>Business Process Standardization: A Multi-Methodological Analysis of Drivers and Consequences</t>
  </si>
  <si>
    <t>Münstermann, Björn</t>
  </si>
  <si>
    <t>http://services.igi-global.com/resolvedoi/resolve.aspx?doi=10.4018/978-1-46667-236-9</t>
  </si>
  <si>
    <t>HM786.L38</t>
  </si>
  <si>
    <t>9781466673700</t>
  </si>
  <si>
    <t>9781466673694</t>
  </si>
  <si>
    <t>From Manufacture to Mindfacture: A Relational Viable Systems Theory</t>
  </si>
  <si>
    <t>Lavanderos, Leonardo</t>
  </si>
  <si>
    <t>http://services.igi-global.com/resolvedoi/resolve.aspx?doi=10.4018/978-1-46667-369-4</t>
  </si>
  <si>
    <t>659.14'4</t>
  </si>
  <si>
    <t>HF6146.I58H365</t>
  </si>
  <si>
    <t>9781466681262</t>
  </si>
  <si>
    <t>9781466681255</t>
  </si>
  <si>
    <t>Handbook of Research on Effective Advertising Strategies in the Social Media Age</t>
  </si>
  <si>
    <t>Taşkıran, Nurdan Öncel</t>
  </si>
  <si>
    <t>http://services.igi-global.com/resolvedoi/resolve.aspx?doi=10.4018/978-1-46668-125-5</t>
  </si>
  <si>
    <t>658.4'04</t>
  </si>
  <si>
    <t>HD69.P75H3546</t>
  </si>
  <si>
    <t>9781466675377</t>
  </si>
  <si>
    <t>9781466675360</t>
  </si>
  <si>
    <t>Handbook of Research on Effective Project Management through the Integration of Knowledge and Innovation</t>
  </si>
  <si>
    <t>Jamil, George Leal</t>
  </si>
  <si>
    <t>http://services.igi-global.com/resolvedoi/resolve.aspx?doi=10.4018/978-1-46667-536-0</t>
  </si>
  <si>
    <t>338.88</t>
  </si>
  <si>
    <t>HF1379.H365</t>
  </si>
  <si>
    <t>9781466665521</t>
  </si>
  <si>
    <t>9781466665514</t>
  </si>
  <si>
    <t>Handbook of Research on Global Business Opportunities</t>
  </si>
  <si>
    <t>http://services.igi-global.com/resolvedoi/resolve.aspx?doi=10.4018/978-1-46666-551-4</t>
  </si>
  <si>
    <t>337.09172'4</t>
  </si>
  <si>
    <t>HG195.H36</t>
  </si>
  <si>
    <t>9781466682757</t>
  </si>
  <si>
    <t>9781466682740</t>
  </si>
  <si>
    <t>Handbook of Research on Globalization, Investment, and Growth-Implications of Confidence and Governance</t>
  </si>
  <si>
    <t>Das, Ramesh Chandra</t>
  </si>
  <si>
    <t>http://services.igi-global.com/resolvedoi/resolve.aspx?doi=10.4018/978-1-46668-274-0</t>
  </si>
  <si>
    <t>QA76.9.H85H363</t>
  </si>
  <si>
    <t>9781466672796</t>
  </si>
  <si>
    <t>9781466672789</t>
  </si>
  <si>
    <t>Handbook of Research on Synthesizing Human Emotion in Intelligent Systems and Robotics</t>
  </si>
  <si>
    <t>http://services.igi-global.com/resolvedoi/resolve.aspx?doi=10.4018/978-1-46667-278-9</t>
  </si>
  <si>
    <t>338/.04</t>
    <phoneticPr fontId="3" type="noConversion"/>
  </si>
  <si>
    <t>HB615</t>
    <phoneticPr fontId="3" type="noConversion"/>
  </si>
  <si>
    <t>9781466675346</t>
    <phoneticPr fontId="3" type="noConversion"/>
  </si>
  <si>
    <t>Comparative Case Studies on Entrepreneurship in Developed and Developing Countries</t>
  </si>
  <si>
    <t>Ofori-Dankwa, Joseph</t>
  </si>
  <si>
    <t>http://services.igi-global.com/resolvedoi/resolve.aspx?doi=10.4018/978-1-4666-7533-9</t>
    <phoneticPr fontId="3" type="noConversion"/>
  </si>
  <si>
    <r>
      <rPr>
        <sz val="12"/>
        <color indexed="10"/>
        <rFont val="新細明體"/>
        <family val="1"/>
        <charset val="136"/>
      </rPr>
      <t>後續擴充</t>
    </r>
    <phoneticPr fontId="14" type="noConversion"/>
  </si>
  <si>
    <t>332/.042</t>
    <phoneticPr fontId="3" type="noConversion"/>
  </si>
  <si>
    <t>HG3881</t>
    <phoneticPr fontId="3" type="noConversion"/>
  </si>
  <si>
    <t>9781466672895</t>
    <phoneticPr fontId="3" type="noConversion"/>
  </si>
  <si>
    <t>Handbook of Research on Strategic Developments and Regulatory Practice in Global Finance</t>
  </si>
  <si>
    <t>Olgu, Özlem</t>
  </si>
  <si>
    <t>http://services.igi-global.com/resolvedoi/resolve.aspx?doi=10.4018/978-1-4666-7288-8</t>
    <phoneticPr fontId="3" type="noConversion"/>
  </si>
  <si>
    <t>658.8'27091724</t>
  </si>
  <si>
    <t>HF5415.15.B6664</t>
  </si>
  <si>
    <t>9781466662438</t>
  </si>
  <si>
    <t>9781466662421</t>
  </si>
  <si>
    <t>Brand Management in Emerging Markets: Theories and Practices</t>
  </si>
  <si>
    <t>Wang, Cheng Lu</t>
  </si>
  <si>
    <t>http://services.igi-global.com/resolvedoi/resolve.aspx?doi=10.4018/978-1-46666-242-1</t>
  </si>
  <si>
    <t>HF5429.H2833</t>
  </si>
  <si>
    <t>9781466660755</t>
  </si>
  <si>
    <t>9781466660748</t>
  </si>
  <si>
    <t>Handbook of Research on Retailer-Consumer Relationship Development</t>
  </si>
  <si>
    <t>Musso, Fabio</t>
  </si>
  <si>
    <t>http://services.igi-global.com/resolvedoi/resolve.aspx?doi=10.4018/978-1-46666-074-8</t>
  </si>
  <si>
    <t>Business and Management Information Science and Technology</t>
  </si>
  <si>
    <t>332'.04150973</t>
  </si>
  <si>
    <t>HG181.A595</t>
  </si>
  <si>
    <t>9781466687462</t>
  </si>
  <si>
    <t>9781466687455</t>
  </si>
  <si>
    <t>Analyzing the Economics of Financial Market Infrastructures</t>
  </si>
  <si>
    <t>Diehl, Martin</t>
  </si>
  <si>
    <t>http://services.igi-global.com/resolvedoi/resolve.aspx?doi=10.4018/978-1-46668-745-5</t>
  </si>
  <si>
    <t>HF5549 .B79825</t>
  </si>
  <si>
    <t>9781466699991</t>
  </si>
  <si>
    <t>9781466699984</t>
  </si>
  <si>
    <t>Bridging the Scholar-Practitioner Gap in Human Resources Development</t>
  </si>
  <si>
    <t>Hughes, Claretha</t>
  </si>
  <si>
    <t>http://services.igi-global.com/resolvedoi/resolve.aspx?doi=10.4018/978-1-46669-998-4</t>
  </si>
  <si>
    <t>HF5415.1265 .C6544</t>
  </si>
  <si>
    <t>9781466697775</t>
  </si>
  <si>
    <t>9781466697768</t>
  </si>
  <si>
    <t>Competitive Social Media Marketing Strategies</t>
  </si>
  <si>
    <t>http://services.igi-global.com/resolvedoi/resolve.aspx?doi=10.4018/978-1-46669-776-8</t>
  </si>
  <si>
    <t>HD38.5 .D4665</t>
  </si>
  <si>
    <t>9781466697218</t>
  </si>
  <si>
    <t>9781466697201</t>
  </si>
  <si>
    <t>Designing and Implementing Global Supply Chain Management</t>
  </si>
  <si>
    <t>Joshi, Sudhanshu</t>
  </si>
  <si>
    <t>http://services.igi-global.com/resolvedoi/resolve.aspx?doi=10.4018/978-1-46669-720-1</t>
  </si>
  <si>
    <t>658.80071</t>
  </si>
  <si>
    <t>HF5415 .G566</t>
  </si>
  <si>
    <t>9781466697850</t>
  </si>
  <si>
    <t>9781466697843</t>
  </si>
  <si>
    <t>Global Perspectives on Contemporary Marketing Education</t>
  </si>
  <si>
    <t>Smith, Brent</t>
  </si>
  <si>
    <t>http://services.igi-global.com/resolvedoi/resolve.aspx?doi=10.4018/978-1-46669-784-3</t>
  </si>
  <si>
    <t>HD38.5 .H3555</t>
  </si>
  <si>
    <t>9781466696402</t>
  </si>
  <si>
    <t>9781466696396</t>
  </si>
  <si>
    <t>Handbook of Research on Global Supply Chain Management</t>
  </si>
  <si>
    <t>http://services.igi-global.com/resolvedoi/resolve.aspx?doi=10.4018/978-1-46669-639-6</t>
  </si>
  <si>
    <t>338.8/8</t>
  </si>
  <si>
    <t>HD2755.5 .H371835</t>
  </si>
  <si>
    <t>9781466698079</t>
  </si>
  <si>
    <t>9781466698062</t>
  </si>
  <si>
    <t>Handbook of Research on Impacts of International Business and Political Affairs on the Global Economy</t>
  </si>
  <si>
    <t>Zakaria, Norhayati</t>
  </si>
  <si>
    <t>http://services.igi-global.com/resolvedoi/resolve.aspx?doi=10.4018/978-1-46669-806-2</t>
  </si>
  <si>
    <t>658.8/2</t>
  </si>
  <si>
    <t>HD9980.5 .H357</t>
  </si>
  <si>
    <t>9781522501442</t>
  </si>
  <si>
    <t>9781522501435</t>
  </si>
  <si>
    <t>Handbook of Research on Promotional Strategies and Consumer Influence in the Service Sector</t>
  </si>
  <si>
    <t>Panwar, Upendra Singh</t>
  </si>
  <si>
    <t>http://services.igi-global.com/resolvedoi/resolve.aspx?doi=10.4018/978-1-52250-143-5</t>
  </si>
  <si>
    <t>HD60.I5295</t>
  </si>
  <si>
    <t>9781466687493</t>
  </si>
  <si>
    <t>9781466687486</t>
  </si>
  <si>
    <t>Incorporating Business Models and Strategies into Social Entrepreneurship</t>
  </si>
  <si>
    <t>Fields, Ziska</t>
  </si>
  <si>
    <t>http://services.igi-global.com/resolvedoi/resolve.aspx?doi=10.4018/978-1-46668-748-6</t>
  </si>
  <si>
    <t>658.0071/1</t>
  </si>
  <si>
    <t>HD30.4 .I55</t>
  </si>
  <si>
    <t>9781466696921</t>
  </si>
  <si>
    <t>9781466696914</t>
  </si>
  <si>
    <t>Innovative Management Education Pedagogies for Preparing Next-Generation Leaders</t>
  </si>
  <si>
    <t>Tiwari, Shalini Rahul</t>
  </si>
  <si>
    <t>http://services.igi-global.com/resolvedoi/resolve.aspx?doi=10.4018/978-1-46669-691-4</t>
  </si>
  <si>
    <t>HD70.A7 M38</t>
  </si>
  <si>
    <t>9781466697591</t>
  </si>
  <si>
    <t>9781466697584</t>
  </si>
  <si>
    <t>Managerial Strategies and Practice in the Asian Business Sector</t>
  </si>
  <si>
    <t>Myo Aung, U Zeyar</t>
  </si>
  <si>
    <t>http://services.igi-global.com/resolvedoi/resolve.aspx?doi=10.4018/978-1-46669-758-4</t>
  </si>
  <si>
    <t>658.7/87</t>
  </si>
  <si>
    <t>TS160 .O67</t>
  </si>
  <si>
    <t>9781466698895</t>
  </si>
  <si>
    <t>9781466698888</t>
  </si>
  <si>
    <t>Optimal Inventory Control and Management Techniques</t>
  </si>
  <si>
    <t>Mittal, Mandeep</t>
  </si>
  <si>
    <t>http://services.igi-global.com/resolvedoi/resolve.aspx?doi=10.4018/978-1-46669-888-8</t>
  </si>
  <si>
    <t>HD30.2 .P756156</t>
  </si>
  <si>
    <t>9781466696082</t>
  </si>
  <si>
    <t>9781466696075</t>
  </si>
  <si>
    <t>Product Innovation through Knowledge Management and Social Media Strategies</t>
  </si>
  <si>
    <t>Goel, Alok Kumar</t>
  </si>
  <si>
    <t>http://services.igi-global.com/resolvedoi/resolve.aspx?doi=10.4018/978-1-46669-607-5</t>
  </si>
  <si>
    <t>658.4/04</t>
  </si>
  <si>
    <t>HD69.P75 S7647</t>
  </si>
  <si>
    <t>9781466698680</t>
  </si>
  <si>
    <t>9781466698673</t>
  </si>
  <si>
    <t>Strategic Integration of Social Media into Project Management Practice</t>
  </si>
  <si>
    <t>http://services.igi-global.com/resolvedoi/resolve.aspx?doi=10.4018/978-1-46669-867-3</t>
  </si>
  <si>
    <t>HD38.5 .S8987</t>
  </si>
  <si>
    <t>9781522500025</t>
  </si>
  <si>
    <t>9781522500018</t>
  </si>
  <si>
    <t>Sustainable Logistics and Strategic Transportation Planning</t>
  </si>
  <si>
    <t>Kramberger, Tomaž</t>
  </si>
  <si>
    <t>http://services.igi-global.com/resolvedoi/resolve.aspx?doi=10.4018/978-1-52250-001-8</t>
  </si>
  <si>
    <t>174/.4</t>
    <phoneticPr fontId="3" type="noConversion"/>
  </si>
  <si>
    <t>HF5387.5.D44</t>
    <phoneticPr fontId="3" type="noConversion"/>
  </si>
  <si>
    <t>9781466698659</t>
    <phoneticPr fontId="3" type="noConversion"/>
  </si>
  <si>
    <t>Ethical and Social Perspectives on Global Business Interaction in Emerging Markets</t>
  </si>
  <si>
    <t>http://services.igi-global.com/resolvedoi/resolve.aspx?doi=10.4018/978-1-4666-9864-2</t>
    <phoneticPr fontId="3" type="noConversion"/>
  </si>
  <si>
    <r>
      <rPr>
        <sz val="12"/>
        <color indexed="10"/>
        <rFont val="新細明體"/>
        <family val="1"/>
        <charset val="136"/>
      </rPr>
      <t>後續擴充</t>
    </r>
    <phoneticPr fontId="14" type="noConversion"/>
  </si>
  <si>
    <t>658.4/06</t>
    <phoneticPr fontId="3" type="noConversion"/>
  </si>
  <si>
    <t>HD58.8</t>
    <phoneticPr fontId="3" type="noConversion"/>
  </si>
  <si>
    <t>9781466695344</t>
    <phoneticPr fontId="3" type="noConversion"/>
  </si>
  <si>
    <t>Organizational Change Management Strategies in Modern Business</t>
  </si>
  <si>
    <t>Goksoy, Asli</t>
  </si>
  <si>
    <t>http://services.igi-global.com/resolvedoi/resolve.aspx?doi=10.4018/978-1-4666-9533-7</t>
    <phoneticPr fontId="3" type="noConversion"/>
  </si>
  <si>
    <r>
      <rPr>
        <sz val="12"/>
        <color indexed="10"/>
        <rFont val="新細明體"/>
        <family val="1"/>
        <charset val="136"/>
      </rPr>
      <t>後續擴充</t>
    </r>
    <phoneticPr fontId="14" type="noConversion"/>
  </si>
  <si>
    <t>G155.A1</t>
    <phoneticPr fontId="3" type="noConversion"/>
  </si>
  <si>
    <t>9781466697621</t>
    <phoneticPr fontId="3" type="noConversion"/>
  </si>
  <si>
    <t>Strategic Tools and Methods for Promoting Hospitality and Tourism Services</t>
  </si>
  <si>
    <t>Nedelea, Alexandru-Mircea</t>
  </si>
  <si>
    <t>http://services.igi-global.com/resolvedoi/resolve.aspx?doi=10.4018/978-1-4666-9761-4</t>
    <phoneticPr fontId="3" type="noConversion"/>
  </si>
  <si>
    <r>
      <rPr>
        <sz val="12"/>
        <color indexed="10"/>
        <rFont val="新細明體"/>
        <family val="1"/>
        <charset val="136"/>
      </rPr>
      <t>後續擴充</t>
    </r>
    <phoneticPr fontId="14" type="noConversion"/>
  </si>
  <si>
    <t>910.68'8</t>
  </si>
  <si>
    <t>G155.A1E42853</t>
  </si>
  <si>
    <t>9781466687004</t>
  </si>
  <si>
    <t>9781466686991</t>
  </si>
  <si>
    <t>Emerging Innovative Marketing Strategies in the Tourism Industry</t>
  </si>
  <si>
    <t>http://services.igi-global.com/resolvedoi/resolve.aspx?doi=10.4018/978-1-46668-699-1</t>
  </si>
  <si>
    <t>G155.7.H37</t>
  </si>
  <si>
    <t>9781466686076</t>
  </si>
  <si>
    <t>9781466686069</t>
  </si>
  <si>
    <t>Handbook of Research on Global Hospitality and Tourism Management</t>
  </si>
  <si>
    <t>Camillo, Angelo A.</t>
  </si>
  <si>
    <t>http://services.igi-global.com/resolvedoi/resolve.aspx?doi=10.4018/978-1-46668-606-9</t>
  </si>
  <si>
    <t>338.4'791</t>
  </si>
  <si>
    <t>G156.5.E26N48</t>
  </si>
  <si>
    <t>9781466685789</t>
  </si>
  <si>
    <t>9781466685772</t>
  </si>
  <si>
    <t>New Business Opportunities in the Growing E-Tourism Industry</t>
  </si>
  <si>
    <t>Eto, Hajime</t>
  </si>
  <si>
    <t>http://services.igi-global.com/resolvedoi/resolve.aspx?doi=10.4018/978-1-46668-577-2</t>
  </si>
  <si>
    <t>658.8'1202854678</t>
  </si>
  <si>
    <t>HF5415.5.S77</t>
  </si>
  <si>
    <t>9781466685871</t>
  </si>
  <si>
    <t>9781466685864</t>
  </si>
  <si>
    <t>Strategic Customer Relationship Management in the Age of Social Media</t>
  </si>
  <si>
    <t>Khanlari, Amir</t>
  </si>
  <si>
    <t>http://services.igi-global.com/resolvedoi/resolve.aspx?doi=10.4018/978-1-46668-586-4</t>
  </si>
  <si>
    <t>658/.044</t>
    <phoneticPr fontId="3" type="noConversion"/>
  </si>
  <si>
    <t>HC79.T4</t>
    <phoneticPr fontId="3" type="noConversion"/>
  </si>
  <si>
    <t>9781466684881</t>
    <phoneticPr fontId="3" type="noConversion"/>
  </si>
  <si>
    <t>Competitive Strategies for Academic Entrepreneurship: Commercialization of Research-Based Products</t>
  </si>
  <si>
    <t>http://services.igi-global.com/resolvedoi/resolve.aspx?doi=10.4018/978-1-4666-8487-4</t>
    <phoneticPr fontId="3" type="noConversion"/>
  </si>
  <si>
    <r>
      <rPr>
        <sz val="12"/>
        <color indexed="10"/>
        <rFont val="新細明體"/>
        <family val="1"/>
        <charset val="136"/>
      </rPr>
      <t>後續擴充</t>
    </r>
    <phoneticPr fontId="14" type="noConversion"/>
  </si>
  <si>
    <t>658.4/013</t>
    <phoneticPr fontId="3" type="noConversion"/>
  </si>
  <si>
    <t>HD30.2</t>
    <phoneticPr fontId="3" type="noConversion"/>
  </si>
  <si>
    <t>9781466684973</t>
    <phoneticPr fontId="3" type="noConversion"/>
  </si>
  <si>
    <t>Maximizing Management Performance and Quality with Service Analytics</t>
  </si>
  <si>
    <t>Diao, Yixin</t>
  </si>
  <si>
    <t>http://services.igi-global.com/resolvedoi/resolve.aspx?doi=10.4018/978-1-4666-8496-6</t>
    <phoneticPr fontId="3" type="noConversion"/>
  </si>
  <si>
    <t>375'.001</t>
  </si>
  <si>
    <t>LB2806.15C6935</t>
  </si>
  <si>
    <t>9781466682474</t>
  </si>
  <si>
    <t>9781466682467</t>
  </si>
  <si>
    <t>Curriculum Design and Classroom Management: Concepts, Methodologies, Tools, and Applications</t>
  </si>
  <si>
    <t>http://services.igi-global.com/resolvedoi/resolve.aspx?doi=10.4018/978-1-46668-246-7</t>
  </si>
  <si>
    <t>LB1707.H354</t>
  </si>
  <si>
    <t>9781466681637</t>
  </si>
  <si>
    <t>9781466681620</t>
  </si>
  <si>
    <t>Handbook of Research on Enhancing Teacher Education with Advanced Instructional Technologies</t>
  </si>
  <si>
    <t>http://services.igi-global.com/resolvedoi/resolve.aspx?doi=10.4018/978-1-46668-162-0</t>
  </si>
  <si>
    <t>LB2395.7.H24</t>
  </si>
  <si>
    <t>9781466681712</t>
  </si>
  <si>
    <t>9781466681705</t>
  </si>
  <si>
    <t>Handbook of Research on Innovative Technology Integration in Higher Education</t>
  </si>
  <si>
    <t>Nafukho, Fredrick Muyia</t>
  </si>
  <si>
    <t>http://services.igi-global.com/resolvedoi/resolve.aspx?doi=10.4018/978-1-46668-170-5</t>
  </si>
  <si>
    <t>LB1028.5.T319</t>
  </si>
  <si>
    <t>9781466663015</t>
  </si>
  <si>
    <t>9781466663008</t>
  </si>
  <si>
    <t>Tablets in K-12 Education: Integrated Experiences and Implications</t>
  </si>
  <si>
    <t>An, Heejung</t>
  </si>
  <si>
    <t>http://services.igi-global.com/resolvedoi/resolve.aspx?doi=10.4018/978-1-46666-300-8</t>
  </si>
  <si>
    <t>302.2/2440285</t>
    <phoneticPr fontId="3" type="noConversion"/>
  </si>
  <si>
    <t>LC149.5</t>
    <phoneticPr fontId="3" type="noConversion"/>
  </si>
  <si>
    <t>9781466663480</t>
    <phoneticPr fontId="3" type="noConversion"/>
  </si>
  <si>
    <t>Promoting Global Literacy Skills through Technology-Infused Teaching and Learning</t>
  </si>
  <si>
    <t>http://services.igi-global.com/resolvedoi/resolve.aspx?doi=10.4018/978-1-4666-6347-3</t>
    <phoneticPr fontId="3" type="noConversion"/>
  </si>
  <si>
    <r>
      <rPr>
        <sz val="12"/>
        <color indexed="10"/>
        <rFont val="新細明體"/>
        <family val="1"/>
        <charset val="136"/>
      </rPr>
      <t>後續擴充</t>
    </r>
    <phoneticPr fontId="14" type="noConversion"/>
  </si>
  <si>
    <t>378.01</t>
  </si>
  <si>
    <t>LB2322.2.A34</t>
  </si>
  <si>
    <t>9781466662032</t>
  </si>
  <si>
    <t>9781466662025</t>
  </si>
  <si>
    <t>Advancing Knowledge in Higher Education: Universities in Turbulent Times</t>
  </si>
  <si>
    <t>Fitzgerald, Tanya</t>
  </si>
  <si>
    <t>http://services.igi-global.com/resolvedoi/resolve.aspx?doi=10.4018/978-1-46666-202-5</t>
  </si>
  <si>
    <t>371.826'912</t>
  </si>
  <si>
    <t>LC3745.C76</t>
  </si>
  <si>
    <t>9781466649293</t>
  </si>
  <si>
    <t>9781466649286</t>
  </si>
  <si>
    <t>Cross-Cultural Considerations in the Education of Young Immigrant Learners</t>
  </si>
  <si>
    <t>http://services.igi-global.com/resolvedoi/resolve.aspx?doi=10.4018/978-1-46664-928-6</t>
  </si>
  <si>
    <t>LC5800.H364</t>
  </si>
  <si>
    <t>9781466651630</t>
  </si>
  <si>
    <t>9781466651623</t>
  </si>
  <si>
    <t>Handbook of Research on Emerging Priorities and Trends in Distance Education: Communication, Pedagogy, and Technology</t>
  </si>
  <si>
    <t>Yuzer, T. Volkan</t>
  </si>
  <si>
    <t>http://services.igi-global.com/resolvedoi/resolve.aspx?doi=10.4018/978-1-46665-162-3</t>
  </si>
  <si>
    <t>378.1'758</t>
  </si>
  <si>
    <t>LB2395.7.M86</t>
  </si>
  <si>
    <t>9781466658776</t>
  </si>
  <si>
    <t>9781466658769</t>
  </si>
  <si>
    <t>Multicultural Awareness and Technology in Higher Education: Global Perspectives</t>
  </si>
  <si>
    <t>http://services.igi-global.com/resolvedoi/resolve.aspx?doi=10.4018/978-1-46665-876-9</t>
  </si>
  <si>
    <t>LB1707.S33</t>
  </si>
  <si>
    <t>9781466650565</t>
  </si>
  <si>
    <t>9781466650558</t>
  </si>
  <si>
    <t>Reforming Teacher Education for Online Pedagogy Development</t>
  </si>
  <si>
    <t>http://services.igi-global.com/resolvedoi/resolve.aspx?doi=10.4018/978-1-46665-055-8</t>
  </si>
  <si>
    <t>370.71/1</t>
    <phoneticPr fontId="3" type="noConversion"/>
  </si>
  <si>
    <t>LB1707</t>
    <phoneticPr fontId="3" type="noConversion"/>
  </si>
  <si>
    <t>9781466659919</t>
    <phoneticPr fontId="3" type="noConversion"/>
  </si>
  <si>
    <t>Cases on Teacher Identity, Diversity, and Cognition in Higher Education</t>
  </si>
  <si>
    <t>Breen, Paul</t>
  </si>
  <si>
    <t>http://services.igi-global.com/resolvedoi/resolve.aspx?doi=10.4018/978-1-4666-5990-2</t>
    <phoneticPr fontId="3" type="noConversion"/>
  </si>
  <si>
    <t>371.33`44678--dc22</t>
  </si>
  <si>
    <t>LB1028.5.F734</t>
  </si>
  <si>
    <t>9781615209187</t>
  </si>
  <si>
    <t>9781615209170</t>
  </si>
  <si>
    <t>Free and Open Source Software for E-Learning: Issues, Successes and Challenges</t>
  </si>
  <si>
    <t>Czerkawski, Betul Özkan</t>
  </si>
  <si>
    <t>http://services.igi-global.com/resolvedoi/resolve.aspx?doi=10.4018/978-1-61520-917-0</t>
  </si>
  <si>
    <t>Government Science and Technology</t>
  </si>
  <si>
    <t>352.3'8028546782</t>
  </si>
  <si>
    <t>JF1525.A8C585</t>
  </si>
  <si>
    <t>9781466686304</t>
  </si>
  <si>
    <t>9781466686298</t>
  </si>
  <si>
    <t>Cloud Computing Technologies for Connected Government</t>
  </si>
  <si>
    <t>Mahmood, Zaigham</t>
  </si>
  <si>
    <t>http://services.igi-global.com/resolvedoi/resolve.aspx?doi=10.4018/978-1-46668-629-8</t>
  </si>
  <si>
    <t>352.3/8028557</t>
  </si>
  <si>
    <t>JK468.A8 M28</t>
  </si>
  <si>
    <t>9781466696501</t>
  </si>
  <si>
    <t>9781466696495</t>
  </si>
  <si>
    <t>Managing Big Data Integration in the Public Sector</t>
  </si>
  <si>
    <t>Aggarwal, Anil</t>
  </si>
  <si>
    <t>http://services.igi-global.com/resolvedoi/resolve.aspx?doi=10.4018/978-1-46669-649-5</t>
  </si>
  <si>
    <t>572.8/6</t>
  </si>
  <si>
    <t>QH438.7</t>
  </si>
  <si>
    <t>9781466685604</t>
  </si>
  <si>
    <t>9781466685598</t>
  </si>
  <si>
    <t>Public Health Genomics and International Wealth Creation</t>
  </si>
  <si>
    <t>Ebomoyi, E. William</t>
  </si>
  <si>
    <t>http://services.igi-global.com/resolvedoi/resolve.aspx?doi=10.4018/978-1-46668-559-8</t>
  </si>
  <si>
    <t>Library Information Science and Technology</t>
  </si>
  <si>
    <t>QA76.9.D3 E335</t>
  </si>
  <si>
    <t>9781522501831</t>
  </si>
  <si>
    <t>9781522501824</t>
  </si>
  <si>
    <t>Effective Big Data Management and Opportunities for Implementation</t>
  </si>
  <si>
    <t>Singh, Manoj Kumar</t>
  </si>
  <si>
    <t>http://services.igi-global.com/resolvedoi/resolve.aspx?doi=10.4018/978-1-52250-182-4</t>
  </si>
  <si>
    <t>025.8'2</t>
  </si>
  <si>
    <t>Z679.7.H36</t>
  </si>
  <si>
    <t>9781466686250</t>
  </si>
  <si>
    <t>9781466686243</t>
  </si>
  <si>
    <t>Handbook of Research on Disaster Management and Contingency Planning in Modern Libraries</t>
  </si>
  <si>
    <t>Decker, Emy Nelson</t>
  </si>
  <si>
    <t>http://services.igi-global.com/resolvedoi/resolve.aspx?doi=10.4018/978-1-46668-624-3</t>
  </si>
  <si>
    <t>001.4/2</t>
  </si>
  <si>
    <t>QA76.9.Q36 I57</t>
  </si>
  <si>
    <t>9781522500766</t>
  </si>
  <si>
    <t>9781522500759</t>
  </si>
  <si>
    <t>Intelligent Techniques for Data Analysis in Diverse Settings</t>
  </si>
  <si>
    <t>Celebi, Numan</t>
  </si>
  <si>
    <t>http://services.igi-global.com/resolvedoi/resolve.aspx?doi=10.4018/978-1-52250-075-9</t>
  </si>
  <si>
    <t>QA76.9.D3 M33664</t>
  </si>
  <si>
    <t>9781466697683</t>
  </si>
  <si>
    <t>9781466697676</t>
  </si>
  <si>
    <t>Managing and Processing Big Data in Cloud Computing</t>
  </si>
  <si>
    <t>Kannan, Rajkumar</t>
  </si>
  <si>
    <t>http://services.igi-global.com/resolvedoi/resolve.aspx?doi=10.4018/978-1-46669-767-6</t>
  </si>
  <si>
    <t>001.4/2</t>
    <phoneticPr fontId="3" type="noConversion"/>
  </si>
  <si>
    <t>H62</t>
    <phoneticPr fontId="3" type="noConversion"/>
  </si>
  <si>
    <t>9781522500087</t>
    <phoneticPr fontId="3" type="noConversion"/>
  </si>
  <si>
    <t>Mixed Methods Research for Improved Scientific Study</t>
  </si>
  <si>
    <t>Baran, Mette</t>
  </si>
  <si>
    <t>http://services.igi-global.com/resolvedoi/resolve.aspx?doi=10.4018/978-1-5225-0007-0</t>
    <phoneticPr fontId="3" type="noConversion"/>
  </si>
  <si>
    <t>QA76.9.D32H36</t>
  </si>
  <si>
    <t>9781466685062</t>
  </si>
  <si>
    <t>9781466685055</t>
  </si>
  <si>
    <t>Handbook of Research on Trends and Future Directions in Big Data and Web Intelligence</t>
  </si>
  <si>
    <t>http://services.igi-global.com/resolvedoi/resolve.aspx?doi=10.4018/978-1-46668-505-5</t>
  </si>
  <si>
    <t>351.072</t>
  </si>
  <si>
    <t>JF1351.S37</t>
  </si>
  <si>
    <t>9781466681170</t>
  </si>
  <si>
    <t>9781466681163</t>
  </si>
  <si>
    <t>Teaching Research Methods in Public Administration</t>
  </si>
  <si>
    <t>Schwester, Richard W.</t>
  </si>
  <si>
    <t>http://services.igi-global.com/resolvedoi/resolve.aspx?doi=10.4018/978-1-46668-116-3</t>
  </si>
  <si>
    <t>658.8/72</t>
    <phoneticPr fontId="3" type="noConversion"/>
  </si>
  <si>
    <t>HD62.6</t>
    <phoneticPr fontId="3" type="noConversion"/>
  </si>
  <si>
    <t>9781466681897</t>
    <phoneticPr fontId="3" type="noConversion"/>
  </si>
  <si>
    <t>Cases on Strategic Social Media Utilization in the Nonprofit Sector</t>
  </si>
  <si>
    <t>Asencio, Hugo</t>
  </si>
  <si>
    <t>http://services.igi-global.com/resolvedoi/resolve.aspx?doi=10.4018/978-1-4666-8188-0</t>
    <phoneticPr fontId="3" type="noConversion"/>
  </si>
  <si>
    <t>Social Sciences and Online Behavior</t>
  </si>
  <si>
    <t>HM741 .R48</t>
  </si>
  <si>
    <t>9781466698802</t>
  </si>
  <si>
    <t>9781466698796</t>
  </si>
  <si>
    <t>(R)evolutionizing Political Communication through Social Media</t>
  </si>
  <si>
    <t>Deželan, Tomaž</t>
  </si>
  <si>
    <t>http://services.igi-global.com/resolvedoi/resolve.aspx?doi=10.4018/978-1-46669-879-6</t>
  </si>
  <si>
    <t>HM851 .D4346</t>
  </si>
  <si>
    <t>9781522502135</t>
  </si>
  <si>
    <t>9781522502128</t>
  </si>
  <si>
    <t>Defining Identity and the Changing Scope of Culture in the Digital Age</t>
  </si>
  <si>
    <t>Novak, Alison</t>
  </si>
  <si>
    <t>http://services.igi-global.com/resolvedoi/resolve.aspx?doi=10.4018/978-1-52250-212-8</t>
  </si>
  <si>
    <t>HC79.I55.H3334</t>
  </si>
  <si>
    <t>9781466685994</t>
  </si>
  <si>
    <t>9781466685987</t>
  </si>
  <si>
    <t>Handbook of Research on Cultural and Economic Impacts of the Information Society</t>
  </si>
  <si>
    <t>Thomas, P.E.</t>
  </si>
  <si>
    <t>http://services.igi-global.com/resolvedoi/resolve.aspx?doi=10.4018/978-1-46668-598-7</t>
  </si>
  <si>
    <t>QA76.9.H85H843</t>
  </si>
  <si>
    <t>9781466684515</t>
  </si>
  <si>
    <t>9781466684508</t>
  </si>
  <si>
    <t>Human Behavior, Psychology, and Social Interaction in the Digital Era</t>
  </si>
  <si>
    <t>http://services.igi-global.com/resolvedoi/resolve.aspx?doi=10.4018/978-1-46668-450-8</t>
  </si>
  <si>
    <t>Medical, Healthcare, and Life Science and Technology</t>
  </si>
  <si>
    <t>RA410.53 .E344</t>
  </si>
  <si>
    <t>9781466699625</t>
  </si>
  <si>
    <t>9781466699618</t>
  </si>
  <si>
    <t>Effective Methods for Modern Healthcare Service Quality and Evaluation</t>
  </si>
  <si>
    <t>Manolitzas, Panagiotis</t>
  </si>
  <si>
    <t>http://services.igi-global.com/resolvedoi/resolve.aspx?doi=10.4018/978-1-46669-961-8</t>
  </si>
  <si>
    <t>R119.9 .H357</t>
  </si>
  <si>
    <t>9781466695238</t>
  </si>
  <si>
    <t>9781466695221</t>
  </si>
  <si>
    <t>Handbook of Research on Holistic Perspectives in Gamification for Clinical Practice</t>
  </si>
  <si>
    <t>Novák, Daniel</t>
  </si>
  <si>
    <t>http://services.igi-global.com/resolvedoi/resolve.aspx?doi=10.4018/978-1-46669-522-1</t>
  </si>
  <si>
    <t>RM301.25 .M47</t>
  </si>
  <si>
    <t>9781522501169</t>
  </si>
  <si>
    <t>9781522501152</t>
  </si>
  <si>
    <t>Methods and Algorithms for Molecular Docking-Based Drug Design and Discovery</t>
  </si>
  <si>
    <t>Dastmalchi, Siavoush</t>
  </si>
  <si>
    <t>http://services.igi-global.com/resolvedoi/resolve.aspx?doi=10.4018/978-1-52250-115-2</t>
  </si>
  <si>
    <t>RM301.25 A673</t>
  </si>
  <si>
    <t>9781522503637</t>
  </si>
  <si>
    <t>9781522503620</t>
  </si>
  <si>
    <t>Applied Case Studies and Solutions in Molecular Docking-Based Drug Design</t>
  </si>
  <si>
    <t>http://services.igi-global.com/resolvedoi/resolve.aspx?doi=10.4018/978-1-52250-362-0</t>
  </si>
  <si>
    <t>R858.I497</t>
  </si>
  <si>
    <t>9781466694330</t>
  </si>
  <si>
    <t>9781466694323</t>
  </si>
  <si>
    <t>Improving Health Management through Clinical Decision Support Systems</t>
  </si>
  <si>
    <t>Moon, Jane D.</t>
  </si>
  <si>
    <t>http://services.igi-global.com/resolvedoi/resolve.aspx?doi=10.4018/978-1-46669-432-3</t>
  </si>
  <si>
    <t>681'.761</t>
  </si>
  <si>
    <t>HV1569.5.O68</t>
  </si>
  <si>
    <t>9781466695313</t>
  </si>
  <si>
    <t>9781466695306</t>
  </si>
  <si>
    <t>Optimizing Assistive Technologies for Aging Populations</t>
  </si>
  <si>
    <t>Morsi, Yosry S.</t>
  </si>
  <si>
    <t>http://services.igi-global.com/resolvedoi/resolve.aspx?doi=10.4018/978-1-46669-530-6</t>
  </si>
  <si>
    <t>174.2</t>
  </si>
  <si>
    <t>RA427.25 .O73</t>
  </si>
  <si>
    <t>9781466696594</t>
  </si>
  <si>
    <t>9781466696587</t>
  </si>
  <si>
    <t>Organizational Culture and Ethics in Modern Medicine</t>
  </si>
  <si>
    <t>Rosiek, Anna</t>
  </si>
  <si>
    <t>http://services.igi-global.com/resolvedoi/resolve.aspx?doi=10.4018/978-1-46669-658-7</t>
  </si>
  <si>
    <t>617.03</t>
  </si>
  <si>
    <t>RM950 .V57</t>
  </si>
  <si>
    <t>9781466697416</t>
  </si>
  <si>
    <t>9781466697409</t>
  </si>
  <si>
    <t>Virtual Reality Enhanced Robotic Systems for Disability Rehabilitation</t>
  </si>
  <si>
    <t>Hu, Fei</t>
  </si>
  <si>
    <t>http://services.igi-global.com/resolvedoi/resolve.aspx?doi=10.4018/978-1-46669-740-9</t>
  </si>
  <si>
    <t>616.8'31</t>
  </si>
  <si>
    <t>9781466684799</t>
  </si>
  <si>
    <t>9781466684782</t>
  </si>
  <si>
    <t>Psychosocial Studies of the Individual's Changing Perspectives in Alzheimer's Disease</t>
  </si>
  <si>
    <t>Dick-Muehlke, Cordula</t>
  </si>
  <si>
    <t>http://services.igi-global.com/resolvedoi/resolve.aspx?doi=10.4018/978-1-46668-478-2</t>
  </si>
  <si>
    <t>RA976.N497</t>
  </si>
  <si>
    <t>9781466630017</t>
  </si>
  <si>
    <t>9781466630000</t>
  </si>
  <si>
    <t>Interoperability in Healthcare Information Systems: Standards, Management, and Technology</t>
  </si>
  <si>
    <t>Sicilia, Miguel Ángel</t>
  </si>
  <si>
    <t>http://services.igi-global.com/resolvedoi/resolve.aspx?doi=10.4018/978-1-46663-000-0</t>
  </si>
  <si>
    <t>617.4/1207543</t>
  </si>
  <si>
    <t>N/A</t>
  </si>
  <si>
    <t>9781613500965</t>
  </si>
  <si>
    <t>9781613500958</t>
  </si>
  <si>
    <t>Intravascular Imaging: Current Applications and Research Developments</t>
  </si>
  <si>
    <t>Tsakanikas, Vasilios D.</t>
  </si>
  <si>
    <t>http://services.igi-global.com/resolvedoi/resolve.aspx?doi=10.4018/978-1-61350-095-8</t>
  </si>
  <si>
    <t>651.5/04261</t>
  </si>
  <si>
    <t>R858 .N49 2011</t>
  </si>
  <si>
    <t>9781609607814</t>
  </si>
  <si>
    <t>9781609607807</t>
  </si>
  <si>
    <t>New Technologies for Advancing Healthcare and Clinical Practices</t>
  </si>
  <si>
    <t>http://services.igi-global.com/resolvedoi/resolve.aspx?doi=10.4018/978-1-60960-780-7</t>
  </si>
  <si>
    <t>003/.72</t>
  </si>
  <si>
    <t>QA402 .A295</t>
  </si>
  <si>
    <t>9781466699656</t>
  </si>
  <si>
    <t>9781466699649</t>
  </si>
  <si>
    <t>Advanced Methods for Complex Network Analysis</t>
  </si>
  <si>
    <t>http://services.igi-global.com/resolvedoi/resolve.aspx?doi=10.4018/978-1-46669-964-9</t>
  </si>
  <si>
    <t>629.8/95632</t>
  </si>
  <si>
    <t>TJ223.M53 A665</t>
  </si>
  <si>
    <t>9781522500643</t>
  </si>
  <si>
    <t>9781522500636</t>
  </si>
  <si>
    <t>Applied Artificial Higher Order Neural Networks for Control and Recognition</t>
  </si>
  <si>
    <t>http://services.igi-global.com/resolvedoi/resolve.aspx?doi=10.4018/978-1-52250-063-6</t>
  </si>
  <si>
    <t>TK5105.888 .D464</t>
  </si>
  <si>
    <t>9781466697652</t>
  </si>
  <si>
    <t>9781466697645</t>
  </si>
  <si>
    <t>Design Solutions for Improving Website Quality and Effectiveness</t>
  </si>
  <si>
    <t>Sreedhar, G.</t>
  </si>
  <si>
    <t>http://services.igi-global.com/resolvedoi/resolve.aspx?doi=10.4018/978-1-46669-764-5</t>
  </si>
  <si>
    <t>QA76.585 .D488</t>
  </si>
  <si>
    <t>9781522501541</t>
  </si>
  <si>
    <t>9781522501534</t>
  </si>
  <si>
    <t>Developing Interoperable and Federated Cloud Architecture</t>
  </si>
  <si>
    <t>Kecskemeti, Gabor</t>
  </si>
  <si>
    <t>http://services.igi-global.com/resolvedoi/resolve.aspx?doi=10.4018/978-1-52250-153-4</t>
  </si>
  <si>
    <t>629.8'9263824</t>
  </si>
  <si>
    <t>TJ211. H2645</t>
  </si>
  <si>
    <t>9781466695733</t>
  </si>
  <si>
    <t>9781466695726</t>
  </si>
  <si>
    <t>Handbook of Research on Design, Control, and Modeling of Swarm Robotics</t>
  </si>
  <si>
    <t>Tan, Ying</t>
  </si>
  <si>
    <t>http://services.igi-global.com/resolvedoi/resolve.aspx?doi=10.4018/978-1-46669-572-6</t>
  </si>
  <si>
    <t>006.4</t>
  </si>
  <si>
    <t>TK7882.P3.H364</t>
  </si>
  <si>
    <t>9781466686557</t>
  </si>
  <si>
    <t>9781466686540</t>
  </si>
  <si>
    <t>Handbook of Research on Emerging Perspectives in Intelligent Pattern Recognition, Analysis, and Image Processing</t>
  </si>
  <si>
    <t>Kamila, Narendra Kumar</t>
  </si>
  <si>
    <t>http://services.igi-global.com/resolvedoi/resolve.aspx?doi=10.4018/978-1-46668-654-0</t>
  </si>
  <si>
    <t>TA1634.I5456</t>
  </si>
  <si>
    <t>9781466687240</t>
  </si>
  <si>
    <t>9781466687233</t>
  </si>
  <si>
    <t>Innovative Research in Attention Modeling and Computer Vision Applications</t>
  </si>
  <si>
    <t>Pal, Rajarshi</t>
  </si>
  <si>
    <t>http://services.igi-global.com/resolvedoi/resolve.aspx?doi=10.4018/978-1-46668-723-3</t>
  </si>
  <si>
    <t>QA76.585 .M356</t>
  </si>
  <si>
    <t>9781466698352</t>
  </si>
  <si>
    <t>9781466698345</t>
  </si>
  <si>
    <t>Managing Big Data in Cloud Computing Environments</t>
  </si>
  <si>
    <t>http://services.igi-global.com/resolvedoi/resolve.aspx?doi=10.4018/978-1-46669-834-5</t>
  </si>
  <si>
    <t>QA76.9.B45R43</t>
  </si>
  <si>
    <t>9781466687387</t>
  </si>
  <si>
    <t>9781466687370</t>
  </si>
  <si>
    <t>Research Advances in the Integration of Big Data and Smart Computing</t>
  </si>
  <si>
    <t>Mallick, Pradeep Kumar</t>
  </si>
  <si>
    <t>http://services.igi-global.com/resolvedoi/resolve.aspx?doi=10.4018/978-1-46668-737-0</t>
  </si>
  <si>
    <t>QA76.585.A3775</t>
  </si>
  <si>
    <t>9781466686779</t>
  </si>
  <si>
    <t>9781466686762</t>
  </si>
  <si>
    <t>Advanced Research on Cloud Computing Design and Applications</t>
  </si>
  <si>
    <t>http://services.igi-global.com/resolvedoi/resolve.aspx?doi=10.4018/978-1-46668-676-2</t>
  </si>
  <si>
    <t>QA76.585.E55</t>
  </si>
  <si>
    <t>9781466686632</t>
  </si>
  <si>
    <t>9781466686625</t>
  </si>
  <si>
    <t>Enabling Real-Time Mobile Cloud Computing through Emerging Technologies</t>
  </si>
  <si>
    <t>Soyata, Tolga</t>
  </si>
  <si>
    <t>http://services.igi-global.com/resolvedoi/resolve.aspx?doi=10.4018/978-1-46668-662-5</t>
  </si>
  <si>
    <t>004.1'1</t>
  </si>
  <si>
    <t>QA76.88.R48</t>
  </si>
  <si>
    <t>9781466674622</t>
  </si>
  <si>
    <t>9781466674615</t>
  </si>
  <si>
    <t>Research and Applications in Global Supercomputing</t>
  </si>
  <si>
    <t>Segall, Richard S.</t>
  </si>
  <si>
    <t>http://services.igi-global.com/resolvedoi/resolve.aspx?doi=10.4018/978-1-46667-461-5</t>
  </si>
  <si>
    <t>331.25'68</t>
  </si>
  <si>
    <t>HD2336.3.V5697</t>
  </si>
  <si>
    <t>9781466609648</t>
  </si>
  <si>
    <t>9781466609631</t>
  </si>
  <si>
    <t>Virtual Work and Human Interaction Research</t>
  </si>
  <si>
    <t>Long, Shawn</t>
  </si>
  <si>
    <t>http://services.igi-global.com/resolvedoi/resolve.aspx?doi=10.4018/978-1-46660-963-1</t>
  </si>
  <si>
    <t>Educational Science and Technology</t>
  </si>
  <si>
    <t>370.116</t>
  </si>
  <si>
    <t>LB2375 .A34</t>
  </si>
  <si>
    <t>9781466696730</t>
  </si>
  <si>
    <t>9781466696723</t>
  </si>
  <si>
    <t>Advancing Teacher Education and Curriculum Development through Study Abroad Programs</t>
  </si>
  <si>
    <t>Rhodes, Joan A.</t>
  </si>
  <si>
    <t>http://services.igi-global.com/resolvedoi/resolve.aspx?doi=10.4018/978-1-46669-672-3</t>
  </si>
  <si>
    <t>378.0285</t>
  </si>
  <si>
    <t>LB2395.7 .D48</t>
  </si>
  <si>
    <t>9781466699847</t>
  </si>
  <si>
    <t>9781466699830</t>
  </si>
  <si>
    <t>Developing Effective Educational Experiences through Learning Analytics</t>
  </si>
  <si>
    <t>Anderson, Mark</t>
  </si>
  <si>
    <t>http://services.igi-global.com/resolvedoi/resolve.aspx?doi=10.4018/978-1-46669-983-0</t>
  </si>
  <si>
    <t>LB1044.87 .E545</t>
  </si>
  <si>
    <t>9781466698383</t>
  </si>
  <si>
    <t>9781466698376</t>
  </si>
  <si>
    <t>Emerging Tools and Applications of Virtual Reality in Education</t>
  </si>
  <si>
    <t>Choi, Dong Hwa</t>
  </si>
  <si>
    <t>http://services.igi-global.com/resolvedoi/resolve.aspx?doi=10.4018/978-1-46669-837-6</t>
  </si>
  <si>
    <t>378.1/691</t>
  </si>
  <si>
    <t>LB2375 .G56</t>
  </si>
  <si>
    <t>9781466697478</t>
  </si>
  <si>
    <t>9781466697461</t>
  </si>
  <si>
    <t>Global Perspectives and Local Challenges Surrounding International Student Mobility</t>
  </si>
  <si>
    <t>Bista, Krishna</t>
  </si>
  <si>
    <t>http://services.igi-global.com/resolvedoi/resolve.aspx?doi=10.4018/978-1-46669-746-1</t>
  </si>
  <si>
    <t>P53.855 .H37</t>
  </si>
  <si>
    <t>9781522501787</t>
  </si>
  <si>
    <t>9781522501770</t>
  </si>
  <si>
    <t>Handbook of Research on Foreign Language Education in the Digital Age</t>
  </si>
  <si>
    <t>Wang, Congcong</t>
  </si>
  <si>
    <t>http://services.igi-global.com/resolvedoi/resolve.aspx?doi=10.4018/978-1-52250-177-0</t>
  </si>
  <si>
    <t>LB1044.87 .U83</t>
  </si>
  <si>
    <t>9781466697447</t>
  </si>
  <si>
    <t>9781466697430</t>
  </si>
  <si>
    <t>User-Centered Design Strategies for Massive Open Online Courses (MOOCs)</t>
  </si>
  <si>
    <t>Mendoza-Gonzalez, Ricardo</t>
  </si>
  <si>
    <t>http://services.igi-global.com/resolvedoi/resolve.aspx?doi=10.4018/978-1-46669-743-0</t>
  </si>
  <si>
    <t>LB1028.3 .W398</t>
  </si>
  <si>
    <t>9781522500704</t>
  </si>
  <si>
    <t>9781522500698</t>
  </si>
  <si>
    <t>Wearable Technology and Mobile Innovations for Next-Generation Education</t>
  </si>
  <si>
    <t>Holland, Janet</t>
  </si>
  <si>
    <t>Information Science Reference</t>
    <phoneticPr fontId="14" type="noConversion"/>
  </si>
  <si>
    <t>http://services.igi-global.com/resolvedoi/resolve.aspx?doi=10.4018/978-1-52250-069-8</t>
  </si>
  <si>
    <t>371.33/468</t>
    <phoneticPr fontId="3" type="noConversion"/>
  </si>
  <si>
    <t>LB1044.87</t>
    <phoneticPr fontId="3" type="noConversion"/>
  </si>
  <si>
    <t>9781522501268</t>
    <phoneticPr fontId="3" type="noConversion"/>
  </si>
  <si>
    <t>Handbook of Research on 3-D Virtual Environments and Hypermedia for Ubiquitous Learning</t>
  </si>
  <si>
    <t>Mendes Neto, Francisco Milton</t>
  </si>
  <si>
    <t>http://services.igi-global.com/resolvedoi/resolve.aspx?doi=10.4018/978-1-5225-0125-1</t>
    <phoneticPr fontId="3" type="noConversion"/>
  </si>
  <si>
    <t>QA20.C65</t>
    <phoneticPr fontId="3" type="noConversion"/>
  </si>
  <si>
    <t>9781522501213</t>
    <phoneticPr fontId="3" type="noConversion"/>
  </si>
  <si>
    <t>Handbook of Research on Transforming Mathematics Teacher Education in the Digital Age</t>
  </si>
  <si>
    <t>Niess, Margaret</t>
  </si>
  <si>
    <t>http://services.igi-global.com/resolvedoi/resolve.aspx?doi=10.4018/978-1-5225-0120-6</t>
    <phoneticPr fontId="3" type="noConversion"/>
  </si>
  <si>
    <t>510.285/4167</t>
    <phoneticPr fontId="3" type="noConversion"/>
  </si>
  <si>
    <t>QA20.M63</t>
    <phoneticPr fontId="3" type="noConversion"/>
  </si>
  <si>
    <t>9781466687158</t>
    <phoneticPr fontId="3" type="noConversion"/>
  </si>
  <si>
    <t>Integrating Touch-Enabled and Mobile Devices into Contemporary Mathematics Education</t>
  </si>
  <si>
    <t>Meletiou-Mavrotheris, Maria</t>
  </si>
  <si>
    <t>http://services.igi-global.com/resolvedoi/resolve.aspx?doi=10.4018/978-1-4666-8714-1</t>
    <phoneticPr fontId="3" type="noConversion"/>
  </si>
  <si>
    <t>620.1'10711</t>
  </si>
  <si>
    <t>TA404.H36</t>
  </si>
  <si>
    <t>9781466681842</t>
  </si>
  <si>
    <t>9781466681835</t>
  </si>
  <si>
    <t>Handbook of Research on Recent Developments in Materials Science and Corrosion Engineering Education</t>
  </si>
  <si>
    <t>Lim, Hwee Ling</t>
  </si>
  <si>
    <t>http://services.igi-global.com/resolvedoi/resolve.aspx?doi=10.4018/978-1-46668-183-5</t>
  </si>
  <si>
    <t>620.1'4</t>
  </si>
  <si>
    <t>TP807.M39</t>
  </si>
  <si>
    <t>9781466640672</t>
  </si>
  <si>
    <t>9781466640665</t>
  </si>
  <si>
    <t>MAX Phases and Ultra-High Temperature Ceramics for Extreme Environments</t>
  </si>
  <si>
    <t>Low, I. M.</t>
  </si>
  <si>
    <t>http://services.igi-global.com/resolvedoi/resolve.aspx?doi=10.4018/978-1-46664-066-5</t>
  </si>
  <si>
    <t>Engineering Science and Technology</t>
  </si>
  <si>
    <t>665.5'3</t>
  </si>
  <si>
    <t>TP690.45.A66</t>
  </si>
  <si>
    <t>9781466695467</t>
  </si>
  <si>
    <t>9781466695450</t>
  </si>
  <si>
    <t>Applying Nanotechnology to the Desulfurization Process in Petroleum Engineering</t>
  </si>
  <si>
    <t>Saleh, Tawfik A.</t>
  </si>
  <si>
    <t>http://services.igi-global.com/resolvedoi/resolve.aspx?doi=10.4018/978-1-46669-545-0</t>
  </si>
  <si>
    <t>303.48/32</t>
  </si>
  <si>
    <t>HE2741 .E54</t>
  </si>
  <si>
    <t>9781522501039</t>
  </si>
  <si>
    <t>9781522501022</t>
  </si>
  <si>
    <t>Emerging Challenges and Opportunities of High Speed Rail Development on Business and Society</t>
  </si>
  <si>
    <t>Selladurai, Raj</t>
  </si>
  <si>
    <t>http://services.igi-global.com/resolvedoi/resolve.aspx?doi=10.4018/978-1-52250-102-2</t>
  </si>
  <si>
    <t>660.6/3</t>
  </si>
  <si>
    <t>TP248.24 .E44</t>
  </si>
  <si>
    <t>9781466698123</t>
  </si>
  <si>
    <t>9781466698116</t>
  </si>
  <si>
    <t>Emerging Research on Bioinspired Materials Engineering</t>
  </si>
  <si>
    <t>http://services.igi-global.com/resolvedoi/resolve.aspx?doi=10.4018/978-1-46669-811-6</t>
  </si>
  <si>
    <t>667/.9</t>
  </si>
  <si>
    <t>TA418.76 .R47</t>
  </si>
  <si>
    <t>9781522500674</t>
  </si>
  <si>
    <t>9781522500667</t>
  </si>
  <si>
    <t>Research Perspectives on Functional Micro- and Nanoscale Coatings</t>
  </si>
  <si>
    <t>Zuzuarregui, Ana</t>
  </si>
  <si>
    <t>http://services.igi-global.com/resolvedoi/resolve.aspx?doi=10.4018/978-1-52250-066-7</t>
  </si>
  <si>
    <t>621.39/5</t>
    <phoneticPr fontId="3" type="noConversion"/>
  </si>
  <si>
    <t>TK7874.66</t>
    <phoneticPr fontId="3" type="noConversion"/>
  </si>
  <si>
    <t>9781522501916</t>
    <phoneticPr fontId="3" type="noConversion"/>
  </si>
  <si>
    <t>Design and Modeling of Low Power VLSI Systems</t>
  </si>
  <si>
    <t>Sharma, Manoj</t>
  </si>
  <si>
    <t>http://services.igi-global.com/resolvedoi/resolve.aspx?doi=10.4018/978-1-5225-0190-9</t>
    <phoneticPr fontId="3" type="noConversion"/>
  </si>
  <si>
    <t>388.068/4</t>
    <phoneticPr fontId="3" type="noConversion"/>
  </si>
  <si>
    <t>HE147.5</t>
    <phoneticPr fontId="3" type="noConversion"/>
  </si>
  <si>
    <t>9781466686496</t>
    <phoneticPr fontId="3" type="noConversion"/>
  </si>
  <si>
    <t>Using Decision Support Systems for Transportation Planning Efficiency</t>
  </si>
  <si>
    <t>Ocalir-Akunal, Ebru V.</t>
  </si>
  <si>
    <t>http://services.igi-global.com/resolvedoi/resolve.aspx?doi=10.4018/978-1-4666-8648-9</t>
    <phoneticPr fontId="3" type="noConversion"/>
  </si>
  <si>
    <t>T59.5</t>
    <phoneticPr fontId="3" type="noConversion"/>
  </si>
  <si>
    <t>9781466686946</t>
    <phoneticPr fontId="3" type="noConversion"/>
  </si>
  <si>
    <t>Robotics, Automation, and Control in Industrial and Service Settings</t>
  </si>
  <si>
    <t>http://services.igi-global.com/resolvedoi/resolve.aspx?doi=10.4018/978-1-4666-8693-9</t>
    <phoneticPr fontId="3" type="noConversion"/>
  </si>
  <si>
    <t>363.8/2</t>
    <phoneticPr fontId="3" type="noConversion"/>
  </si>
  <si>
    <t>HD9018.D44</t>
    <phoneticPr fontId="3" type="noConversion"/>
  </si>
  <si>
    <t>9781466665026</t>
    <phoneticPr fontId="3" type="noConversion"/>
  </si>
  <si>
    <t>Impacts of Climate Change on Food Security in Small Island Developing States</t>
  </si>
  <si>
    <t>Ganpat, Wayne G.</t>
  </si>
  <si>
    <t>http://services.igi-global.com/resolvedoi/resolve.aspx?doi=10.4018/978-1-4666-6501-9</t>
    <phoneticPr fontId="3" type="noConversion"/>
  </si>
  <si>
    <t>338.1'620285</t>
  </si>
  <si>
    <t>S494.5.I5E23</t>
  </si>
  <si>
    <t>9781466626867</t>
  </si>
  <si>
    <t>9781466626553</t>
  </si>
  <si>
    <t>E-Agriculture and Rural Development: Global Innovations and Future Prospects</t>
  </si>
  <si>
    <t>Maumbe, Blessing</t>
  </si>
  <si>
    <t>http://services.igi-global.com/resolvedoi/resolve.aspx?doi=10.4018/978-1-46662-655-3</t>
  </si>
  <si>
    <t>Environmental Science and Technology</t>
  </si>
  <si>
    <t>9781466697935</t>
  </si>
  <si>
    <t>9781466697928</t>
  </si>
  <si>
    <t>Biologically-Inspired Energy Harvesting through Wireless Sensor Technologies</t>
  </si>
  <si>
    <t>Ponnusamy, Vasaki</t>
  </si>
  <si>
    <t>http://services.igi-global.com/resolvedoi/resolve.aspx?doi=10.4018/978-1-46669-792-8</t>
  </si>
  <si>
    <t>333.950285</t>
  </si>
  <si>
    <t>QL83.17.C66</t>
  </si>
  <si>
    <t>9781466694361</t>
  </si>
  <si>
    <t>9781466694354</t>
  </si>
  <si>
    <t>Computer Vision and Pattern Recognition in Environmental Informatics</t>
  </si>
  <si>
    <t>Zhou, Jun</t>
  </si>
  <si>
    <t>http://services.igi-global.com/resolvedoi/resolve.aspx?doi=10.4018/978-1-46669-435-4</t>
  </si>
  <si>
    <t>363.70071</t>
  </si>
  <si>
    <t>GE70.P8</t>
  </si>
  <si>
    <t>9781466687653</t>
  </si>
  <si>
    <t>9781466687646</t>
  </si>
  <si>
    <t>Promoting Climate Change Awareness through Environmental Education</t>
  </si>
  <si>
    <t>Wilson, Lynn</t>
  </si>
  <si>
    <t>http://services.igi-global.com/resolvedoi/resolve.aspx?doi=10.4018/978-1-46668-764-6</t>
  </si>
  <si>
    <t>TK3105</t>
    <phoneticPr fontId="3" type="noConversion"/>
  </si>
  <si>
    <t>9781522500735</t>
  </si>
  <si>
    <t>9781522500728</t>
  </si>
  <si>
    <t>Smart Grid as a Solution for Renewable and Efficient Energy</t>
  </si>
  <si>
    <t>Ahmad, Ayaz</t>
  </si>
  <si>
    <t>http://services.igi-global.com/resolvedoi/resolve.aspx?doi=10.4018/978-1-52250-072-8</t>
  </si>
  <si>
    <t>628.5</t>
  </si>
  <si>
    <t>TD192.5</t>
  </si>
  <si>
    <t>9781466697355</t>
  </si>
  <si>
    <t>9781466697348</t>
  </si>
  <si>
    <t>Toxicity and Waste Management Using Bioremediation</t>
  </si>
  <si>
    <t>Rathoure, Ashok K.</t>
  </si>
  <si>
    <t>http://services.igi-global.com/resolvedoi/resolve.aspx?doi=10.4018/978-1-46669-734-8</t>
  </si>
  <si>
    <t>333.91009498/3</t>
    <phoneticPr fontId="3" type="noConversion"/>
  </si>
  <si>
    <t>TD295.D625</t>
    <phoneticPr fontId="3" type="noConversion"/>
  </si>
  <si>
    <t>9781466684393</t>
    <phoneticPr fontId="3" type="noConversion"/>
  </si>
  <si>
    <t>Extreme Weather and Impacts of Climate Change on Water Resources in the Dobrogea Region</t>
  </si>
  <si>
    <t>Maftei, Carmen</t>
  </si>
  <si>
    <t>http://services.igi-global.com/resolvedoi/resolve.aspx?doi=10.4018/978-1-4666-8438-6</t>
    <phoneticPr fontId="3" type="noConversion"/>
  </si>
  <si>
    <t>Media and Communication Science and Technology</t>
  </si>
  <si>
    <t>TK5103.2 .E494</t>
  </si>
  <si>
    <t>9781466699427</t>
  </si>
  <si>
    <t>9781466699410</t>
  </si>
  <si>
    <t>Emerging Innovations in Wireless Networks and Broadband Technologies</t>
  </si>
  <si>
    <t>http://services.igi-global.com/resolvedoi/resolve.aspx?doi=10.4018/978-1-46669-941-0</t>
  </si>
  <si>
    <t>QA76.59.E46755</t>
  </si>
  <si>
    <t>9781466688391</t>
  </si>
  <si>
    <t>9781466688384</t>
  </si>
  <si>
    <t>Emerging Perspectives on the Mobile Content Evolution</t>
  </si>
  <si>
    <t>Aguado, Juan Miguel</t>
  </si>
  <si>
    <t>http://services.igi-global.com/resolvedoi/resolve.aspx?doi=10.4018/978-1-46668-838-4</t>
  </si>
  <si>
    <t>TA1637 .E46</t>
  </si>
  <si>
    <t>9781466696860</t>
  </si>
  <si>
    <t>9781466696853</t>
  </si>
  <si>
    <t>Emerging Technologies in Intelligent Applications for Image and Video Processing</t>
  </si>
  <si>
    <t>Santhi, V.</t>
  </si>
  <si>
    <t>http://services.igi-global.com/resolvedoi/resolve.aspx?doi=10.4018/978-1-46669-685-3</t>
  </si>
  <si>
    <t>9781466686434</t>
  </si>
  <si>
    <t>9781466686427</t>
  </si>
  <si>
    <t>Game Theory Framework Applied to Wireless Communication Networks</t>
  </si>
  <si>
    <t>Yang, Chungang</t>
  </si>
  <si>
    <t>http://services.igi-global.com/resolvedoi/resolve.aspx?doi=10.4018/978-1-46668-642-7</t>
  </si>
  <si>
    <t>HM851.H34836</t>
  </si>
  <si>
    <t>9781466683112</t>
  </si>
  <si>
    <t>9781466683105</t>
  </si>
  <si>
    <t>Handbook of Research on the Societal Impact of Digital Media</t>
  </si>
  <si>
    <t>Guzzetti, Barbara</t>
  </si>
  <si>
    <t>http://services.igi-global.com/resolvedoi/resolve.aspx?doi=10.4018/978-1-46668-310-5</t>
  </si>
  <si>
    <t>700.1'05</t>
  </si>
  <si>
    <t>NX180.T4A53</t>
  </si>
  <si>
    <t>9781466686809</t>
  </si>
  <si>
    <t>9781466686793</t>
  </si>
  <si>
    <t>Analyzing Art, Culture, and Design in the Digital Age</t>
  </si>
  <si>
    <t>Mura, Gianluca</t>
  </si>
  <si>
    <t>http://services.igi-global.com/resolvedoi/resolve.aspx?doi=10.4018/978-1-46668-679-3</t>
  </si>
  <si>
    <t>070.4'3</t>
  </si>
  <si>
    <t>PN4784.R38C66</t>
  </si>
  <si>
    <t>9781466685819</t>
  </si>
  <si>
    <t>9781466685802</t>
  </si>
  <si>
    <t>Contemporary Research Methods and Data Analytics in the News Industry</t>
  </si>
  <si>
    <t>Gibbs, William J.</t>
  </si>
  <si>
    <t>http://services.igi-global.com/resolvedoi/resolve.aspx?doi=10.4018/978-1-46668-580-2</t>
  </si>
  <si>
    <t>LB1028.4.D47</t>
  </si>
  <si>
    <t>9781466686977</t>
  </si>
  <si>
    <t>9781466686960</t>
  </si>
  <si>
    <t>Design Strategies and Innovations in Multimedia Presentations</t>
  </si>
  <si>
    <t>http://services.igi-global.com/resolvedoi/resolve.aspx?doi=10.4018/978-1-46668-696-0</t>
  </si>
  <si>
    <t>HM742</t>
    <phoneticPr fontId="3" type="noConversion"/>
  </si>
  <si>
    <t>9781466685574</t>
    <phoneticPr fontId="3" type="noConversion"/>
  </si>
  <si>
    <t>Social Media and the Transformation of Interaction in Society</t>
  </si>
  <si>
    <t>Sahlin, John P.</t>
  </si>
  <si>
    <t>http://services.igi-global.com/resolvedoi/resolve.aspx?doi=10.4018/978-1-4666-8556-7</t>
    <phoneticPr fontId="3" type="noConversion"/>
  </si>
  <si>
    <t>306.44</t>
  </si>
  <si>
    <t>HF5718.C627</t>
  </si>
  <si>
    <t>9781466650008</t>
  </si>
  <si>
    <t>9781466649996</t>
  </si>
  <si>
    <t>Communication and Language Analysis in the Corporate World</t>
  </si>
  <si>
    <t>http://services.igi-global.com/resolvedoi/resolve.aspx?doi=10.4018/978-1-46664-999-6</t>
  </si>
  <si>
    <t>Security and Forensic Science and Technology</t>
  </si>
  <si>
    <t>TK5105.59.N3377</t>
  </si>
  <si>
    <t>9781466687622</t>
  </si>
  <si>
    <t>9781466687615</t>
  </si>
  <si>
    <t>Network Security Attacks and Countermeasures</t>
  </si>
  <si>
    <t>Kumar, Dileep G.</t>
  </si>
  <si>
    <t>http://services.igi-global.com/resolvedoi/resolve.aspx?doi=10.4018/978-1-46668-761-5</t>
  </si>
  <si>
    <t>QA76.9.A25 C919 2011</t>
  </si>
  <si>
    <t>9781609601256</t>
  </si>
  <si>
    <t>9781609601232</t>
  </si>
  <si>
    <t>Cyber Security, Cyber Crime and Cyber Forensics: Applications and Perspectives</t>
  </si>
  <si>
    <t>Santanam, Raghu</t>
  </si>
  <si>
    <t>http://services.igi-global.com/resolvedoi/resolve.aspx?doi=10.4018/978-1-60960-123-2</t>
  </si>
  <si>
    <t>From Government to E-Governance: Public Administration in the Digital Age</t>
  </si>
  <si>
    <t>1st</t>
  </si>
  <si>
    <t>Islam, Muhammad Muinul</t>
  </si>
  <si>
    <t>Technological Advancements in Biomedicine for Healthcare Applications</t>
  </si>
  <si>
    <t>Medical Advancements in Aging and Regenerative Technologies: Clinical Tools and Applications</t>
  </si>
  <si>
    <t>Daskalaki, Andriani</t>
  </si>
  <si>
    <t>Handbook of Research on Computational Intelligence for Engineering, Science, and Business</t>
  </si>
  <si>
    <t>Web Portal Design, Implementation, Integration, and Optimization</t>
  </si>
  <si>
    <t>Polgar, Jana</t>
  </si>
  <si>
    <t>Tools for Mobile Multimedia Programming and Development</t>
  </si>
  <si>
    <t>Knowledge-Based Processes in Software Development</t>
  </si>
  <si>
    <t>Activity Theory Perspectives on Technology in Higher Education</t>
  </si>
  <si>
    <t>Murphy, Elizabeth</t>
  </si>
  <si>
    <t>Theory and Application of Multi-Formalism Modeling</t>
  </si>
  <si>
    <t>Gribaudo, Marco</t>
  </si>
  <si>
    <t>Contemporary Social Issues in East Asian Societies: Examining the Spectrum of Public and Private Spheres</t>
  </si>
  <si>
    <t>Merviö, Mika Markus</t>
  </si>
  <si>
    <t>Interdisciplinary Applications of Agent-Based Social Simulation and Modeling</t>
  </si>
  <si>
    <t>Adamatti, Diana Franscisca</t>
  </si>
  <si>
    <t>Face Recognition in Adverse Conditions</t>
  </si>
  <si>
    <t>Approaches to Managing Organizational Diversity and Innovation</t>
  </si>
  <si>
    <t>Erbe, Nancy</t>
  </si>
  <si>
    <t>Innovative Applications and Developments of Micro-Pattern Gaseous Detectors</t>
  </si>
  <si>
    <t>Francke, Tom</t>
  </si>
  <si>
    <t>Political Campaigning in the Information Age</t>
  </si>
  <si>
    <t>Solo, Ashu M. G.</t>
  </si>
  <si>
    <t>E-Governance and Social Inclusion: Concepts and Cases</t>
  </si>
  <si>
    <t>Baum, Scott</t>
  </si>
  <si>
    <t>Cases on Research-Based Teaching Methods in Science Education</t>
  </si>
  <si>
    <t>Technology and Practice in Geotechnical Engineering</t>
  </si>
  <si>
    <t>Adeyeri, Joseph</t>
  </si>
  <si>
    <t>Handbook of Research on Artificial Intelligence Techniques and Algorithms</t>
  </si>
  <si>
    <t>Technological Breakthroughs in Modern Wireless Sensor Applications</t>
  </si>
  <si>
    <t>Sharif, Hamid</t>
  </si>
  <si>
    <t>Improving Organizational Effectiveness with Enterprise Information Systems</t>
  </si>
  <si>
    <t>Varajão, João Eduardo</t>
  </si>
  <si>
    <t>Trends and Innovations in Marketing Information Systems</t>
  </si>
  <si>
    <t>Transportation Systems and Engineering: Concepts, Methodologies, Tools, and Applications</t>
  </si>
  <si>
    <t>Emerging Design Solutions in Structural Health Monitoring Systems</t>
  </si>
  <si>
    <t>Intelligent Applications for Heterogeneous System Modeling and Design</t>
  </si>
  <si>
    <t>Sarma, Kandarpa Kumar</t>
  </si>
  <si>
    <t>Handbook of Research on Individual Differences in Computer-Assisted Language Learning</t>
  </si>
  <si>
    <t>Rahimi, Mehrak</t>
  </si>
  <si>
    <t>Educational Strategies for the Next Generation Leaders in Hotel Management</t>
  </si>
  <si>
    <t>Feng, Jiuguang</t>
  </si>
  <si>
    <t>Contemporary Global Perspectives on Gender Economics</t>
  </si>
  <si>
    <t>Moore, Susanne</t>
  </si>
  <si>
    <t>Strategic Utilization of Information Systems in Small Business</t>
  </si>
  <si>
    <t>Hunter, M. Gordon</t>
  </si>
  <si>
    <t>Innovative Solutions in Fluid-Particle Systems and Renewable Energy Management</t>
  </si>
  <si>
    <t>Tannous, Katia</t>
  </si>
  <si>
    <t>Green Accounting Initiatives and Strategies for Sustainable Development</t>
  </si>
  <si>
    <t>Caraiani, Chirata</t>
  </si>
  <si>
    <t>Fuzzy Optimization and Multi-Criteria Decision Making in Digital Marketing</t>
  </si>
  <si>
    <t>Kumar, Anil</t>
  </si>
  <si>
    <t>Capturing, Analyzing, and Managing Word-of-Mouth in the Digital Marketplace</t>
  </si>
  <si>
    <t>Rathore, Sumangla</t>
  </si>
  <si>
    <t>Handbook of Research on Advanced Hybrid Intelligent Techniques and Applications</t>
  </si>
  <si>
    <t>Handbook of Research on Financial and Banking Crisis Prediction through Early Warning Systems</t>
  </si>
  <si>
    <t>Munir, Qaiser</t>
  </si>
  <si>
    <t>Handbook of Research on Modern Optimization Algorithms and Applications in Engineering and Economics</t>
  </si>
  <si>
    <t>Handbook of Research on Active Learning and the Flipped Classroom Model in the Digital Age</t>
  </si>
  <si>
    <t>Impact of Communication and the Media on Ethnic Conflict</t>
  </si>
  <si>
    <t>Gibson, Steven</t>
  </si>
  <si>
    <t>Reshaping Medical Practice and Care with Health Information Systems</t>
  </si>
  <si>
    <t>Dwivedi, Ashish</t>
  </si>
  <si>
    <t>Applying Business Intelligence to Clinical and Healthcare Organizations</t>
  </si>
  <si>
    <t>Machado, José</t>
  </si>
  <si>
    <t>Analyzing Digital Discourse and Human Behavior in Modern Virtual Environments</t>
  </si>
  <si>
    <t>Baggio, Bobbie</t>
  </si>
  <si>
    <t>Corporate Social Responsibility in the Hospitality and Tourism Industry</t>
  </si>
  <si>
    <t>Guliani, Lipika Kaur</t>
  </si>
  <si>
    <t>Critical Examinations of School Violence and Disturbance in K-12 Education</t>
  </si>
  <si>
    <t>Crews, Gordon A.</t>
  </si>
  <si>
    <t>Global Perspectives on Youth Gang Behavior, Violence, and Weapons Use</t>
  </si>
  <si>
    <t>Harding, Simon</t>
  </si>
  <si>
    <t>Social, Economic, and Political Perspectives on Public Health Policy-Making</t>
  </si>
  <si>
    <t>Gholipour, Rahmatollah</t>
  </si>
  <si>
    <t>Global Perspectives on Media Events in Contemporary Society</t>
  </si>
  <si>
    <t>Fox, Andrew</t>
  </si>
  <si>
    <t>Encyclopedia of E-Health and Telemedicine</t>
  </si>
  <si>
    <t>Gender Considerations in Online Consumption Behavior and Internet Use</t>
  </si>
  <si>
    <t>English, Rebecca</t>
  </si>
  <si>
    <t>Handbook of Research on Modern Cryptographic Solutions for Computer and Cyber Security</t>
  </si>
  <si>
    <t>Gupta, Brij</t>
  </si>
  <si>
    <t>Population Growth and Rapid Urbanization in the Developing World</t>
  </si>
  <si>
    <t>Benna, Umar G.</t>
  </si>
  <si>
    <t>Global Dynamics in Travel, Tourism, and Hospitality</t>
  </si>
  <si>
    <t>Pappas, Nikolaos</t>
  </si>
  <si>
    <t>Computational Modeling of Masonry Structures Using the Discrete Element Method</t>
  </si>
  <si>
    <t>Sarhosis, Vasilis</t>
  </si>
  <si>
    <t>Interdisciplinary Perspectives on Contemporary Conflict Resolution</t>
  </si>
  <si>
    <t>Novais, Paulo</t>
  </si>
  <si>
    <t>Enterprise Big Data Engineering, Analytics, and Management</t>
  </si>
  <si>
    <t>Atzmueller, Martin</t>
  </si>
  <si>
    <t>Field-Programmable Gate Array (FPGA) Technologies for High Performance Instrumentation</t>
  </si>
  <si>
    <t>Advanced Manufacturing Techniques Using Laser Material Processing</t>
  </si>
  <si>
    <t>Akinlabi, Esther Titilayo</t>
  </si>
  <si>
    <t>Managing Public Relations and Brand Image through Social Media</t>
  </si>
  <si>
    <t>Singh, Anurag</t>
  </si>
  <si>
    <t>Managing Project Risks for Competitive Advantage in Changing Business Environments</t>
  </si>
  <si>
    <t>Bodea, Constanta-Nicoleta</t>
  </si>
  <si>
    <t>Analyzing Language and Humor in Online Communication</t>
  </si>
  <si>
    <t>Advanced Research on Nanotechnology for Civil Engineering Applications</t>
  </si>
  <si>
    <t>Khitab, Anwar</t>
  </si>
  <si>
    <t>Green Approaches to Biocomposite Materials Science and Engineering</t>
  </si>
  <si>
    <t>Verma, Deepak</t>
  </si>
  <si>
    <t>Innovative Solutions for Access Control Management</t>
  </si>
  <si>
    <t>Malik, Ahmad Kamran</t>
  </si>
  <si>
    <t>Data Mining Trends and Applications in Criminal Science and Investigations</t>
  </si>
  <si>
    <t>Isafiade, Omowunmi E.</t>
  </si>
  <si>
    <t>Contemporary Research on Intertextuality in Video Games</t>
  </si>
  <si>
    <t>Duret, Christophe</t>
  </si>
  <si>
    <t>Knowledge Visualization and Visual Literacy in Science Education</t>
  </si>
  <si>
    <t>Collaborative Filtering Using Data Mining and Analysis</t>
  </si>
  <si>
    <t>Sustainable Nanosystems Development, Properties, and Applications</t>
  </si>
  <si>
    <t>Emerging Technologies and Applications for Cloud-Based Gaming</t>
  </si>
  <si>
    <t>Oncology: Breakthroughs in Research and Practice</t>
  </si>
  <si>
    <t>Pattern Recognition and Classification in Time Series Data</t>
  </si>
  <si>
    <t>Volna, Eva</t>
  </si>
  <si>
    <t>Applying Nanotechnology for Environmental Sustainability</t>
  </si>
  <si>
    <t>Joo, Sung Hee</t>
  </si>
  <si>
    <t>Modeling and Simulation Techniques in Structural Engineering</t>
  </si>
  <si>
    <t>Samui, Pijush</t>
  </si>
  <si>
    <t>Exploring the Nutrition and Health Benefits of Functional Foods</t>
  </si>
  <si>
    <t>Shekhar, Hossain Uddin</t>
  </si>
  <si>
    <t>Security Management in Mobile Cloud Computing</t>
  </si>
  <si>
    <t>Examining the Development, Regulation, and Consumption of Functional Foods</t>
  </si>
  <si>
    <t>Benjamin, Sailas</t>
  </si>
  <si>
    <t>Integrating Biologically-Inspired Nanotechnology into Medical Practice</t>
  </si>
  <si>
    <t>Nayak, B.K.</t>
  </si>
  <si>
    <t>Developing and Applying Optoelectronics in Machine Vision</t>
  </si>
  <si>
    <t>Sergiyenko, Oleg</t>
  </si>
  <si>
    <t>Healthcare Community Synergism between Patients, Practitioners, and Researchers</t>
  </si>
  <si>
    <t>Bryan, Valerie C.</t>
  </si>
  <si>
    <t>Social Media Data Extraction and Content Analysis</t>
  </si>
  <si>
    <t>Computational Tools and Techniques for Biomedical Signal Processing</t>
  </si>
  <si>
    <t>Singh, Butta</t>
  </si>
  <si>
    <t>Transformative Healthcare Practice through Patient Engagement</t>
  </si>
  <si>
    <t>Graffigna, Guendalina</t>
  </si>
  <si>
    <t>Design Innovations for Contemporary Interiors and Civic Art</t>
  </si>
  <si>
    <t>Crespi, Luciano</t>
  </si>
  <si>
    <t>Oceanographic and Marine Cross-Domain Data Management for Sustainable Development</t>
  </si>
  <si>
    <t>Diviacco, Paolo</t>
  </si>
  <si>
    <t>Developing Next-Generation Countermeasures for Homeland Security Threat Prevention</t>
  </si>
  <si>
    <t>Dawson, Maurice</t>
  </si>
  <si>
    <t>Opportunities and Challenges for Tourism and Hospitality in the BRIC Nations</t>
  </si>
  <si>
    <t>Dhiman, Mohinder Chand</t>
  </si>
  <si>
    <t>Defending Human Rights and Democracy in the Era of Globalization</t>
  </si>
  <si>
    <t>Akrivopoulou, Christina</t>
  </si>
  <si>
    <t>Handbook of Research on Nanoelectronic Sensor Modeling and Applications</t>
  </si>
  <si>
    <t>Ahmadi, Mohammad Taghi</t>
  </si>
  <si>
    <t>Security Solutions for Hyperconnectivity and the Internet of Things</t>
  </si>
  <si>
    <t>Novel Approaches for Drug Delivery</t>
  </si>
  <si>
    <t>Keservani, Raj K.</t>
  </si>
  <si>
    <t>Recent Advances in Drug Delivery Technology</t>
  </si>
  <si>
    <t>Handbook of Research on End-to-End Cloud Computing Architecture Design</t>
  </si>
  <si>
    <t>Chen, Jianwen Wendy</t>
  </si>
  <si>
    <t>Case Studies as a Teaching Tool in Management Education</t>
  </si>
  <si>
    <t>Latusek, Dominika</t>
  </si>
  <si>
    <t>World University Rankings and the Future of Higher Education</t>
  </si>
  <si>
    <t>Downing, Kevin</t>
  </si>
  <si>
    <t>Enriching Urban Spaces with Ambient Computing, the Internet of Things, and Smart City Design</t>
  </si>
  <si>
    <t>Konomi, Shin'ichi</t>
  </si>
  <si>
    <t>Strategic IT Governance and Alignment in Business Settings</t>
  </si>
  <si>
    <t>Haes, Steven De</t>
  </si>
  <si>
    <t>Online Banking Security Measures and Data Protection</t>
  </si>
  <si>
    <t>Aljawarneh, Shadi A.</t>
  </si>
  <si>
    <t>Handbook of Research on Building, Growing, and Sustaining Quality E-Learning Programs</t>
  </si>
  <si>
    <t>Shelton, Kaye</t>
  </si>
  <si>
    <t>Applied Big Data Analytics in Operations Management</t>
  </si>
  <si>
    <t>Kumar, Manish</t>
  </si>
  <si>
    <t>Multi-Core Computer Vision and Image Processing for Intelligent Applications</t>
  </si>
  <si>
    <t>S., Mohan</t>
  </si>
  <si>
    <t>Handbook of Research on Learner-Centered Pedagogy in Teacher Education and Professional Development</t>
  </si>
  <si>
    <t>Open Source Solutions for Knowledge Management and Technological Ecosystems</t>
  </si>
  <si>
    <t>Garcia-Peñalvo, Francisco J.</t>
  </si>
  <si>
    <t>Design Education for Fostering Creativity and Innovation in China</t>
  </si>
  <si>
    <t>Siu, Kin Wai Michael</t>
  </si>
  <si>
    <t>Emerging Research on Applied Fuzzy Sets and Intuitionistic Fuzzy Matrices</t>
  </si>
  <si>
    <t>Adak, Amal Kumar</t>
  </si>
  <si>
    <t>Handbook of Research on Healthcare Administration and Management</t>
  </si>
  <si>
    <t>Wickramasinghe, Nilmini</t>
  </si>
  <si>
    <t>Improving the Quality of Life for Dementia Patients through Progressive Detection, Treatment, and Care</t>
  </si>
  <si>
    <t>Handbook of Research on Geographic Information Systems Applications and Advancements</t>
  </si>
  <si>
    <t>Faiz, Sami</t>
  </si>
  <si>
    <t>Agricultural Development and Food Security in Developing Nations</t>
  </si>
  <si>
    <t>Mobile Application Development, Usability, and Security</t>
  </si>
  <si>
    <t>Mukherjea, Sougata</t>
  </si>
  <si>
    <t>Handbook of Research on Human Resources Strategies for the New Millennial Workforce</t>
  </si>
  <si>
    <t>Supply Chain Management in the Big Data Era</t>
  </si>
  <si>
    <t>Chan, Hing Kai</t>
  </si>
  <si>
    <t>Tools and Techniques for Economic Decision Analysis</t>
  </si>
  <si>
    <t>Stanković, Jelena</t>
  </si>
  <si>
    <t>Advancing Next-Generation Teacher Education through Digital Tools and Applications</t>
  </si>
  <si>
    <t>Grassetti, Mary</t>
  </si>
  <si>
    <t>Cloud Computing Systems and Applications in Healthcare</t>
  </si>
  <si>
    <t>Bhatt, Chintan M.</t>
  </si>
  <si>
    <t>Eye-Tracking Technology Applications in Educational Research</t>
  </si>
  <si>
    <t>Was, Christopher</t>
  </si>
  <si>
    <t>Handbook of Research on Fuzzy and Rough Set Theory in Organizational Decision Making</t>
  </si>
  <si>
    <t>Sangaiah, Arun Kumar</t>
  </si>
  <si>
    <t>Managing Security Issues and the Hidden Dangers of Wearable Technologies</t>
  </si>
  <si>
    <t>Marrington, Andrew</t>
  </si>
  <si>
    <t>Applied Video Processing in Surveillance and Monitoring Systems</t>
  </si>
  <si>
    <t>Dey, Nilanjan</t>
  </si>
  <si>
    <t>Gamification-Based E-Learning Strategies for Computer Programming Education</t>
  </si>
  <si>
    <t>Queirós, Ricardo Alexandre Pei</t>
  </si>
  <si>
    <t>Technologies for the Treatment and Recovery of Nutrients from Industrial Wastewater</t>
  </si>
  <si>
    <t>Río, Ángeles Val del</t>
  </si>
  <si>
    <t>Comparative Approaches to Biotechnology Development and Use in Developed and Emerging Nations</t>
  </si>
  <si>
    <t>Advancing Medicine through Nanotechnology and Nanomechanics Applications</t>
  </si>
  <si>
    <t>Talukdar, Keka</t>
  </si>
  <si>
    <t>Handbook of Research on Holistic Optimization Techniques in the Hospitality, Tourism, and Travel Industry</t>
  </si>
  <si>
    <t>Environmental Sustainability and Climate Change Adaptation Strategies</t>
  </si>
  <si>
    <t>Ganpat, Wayne</t>
  </si>
  <si>
    <t>Agri-Food Supply Chain Management: Breakthroughs in Research and Practice</t>
  </si>
  <si>
    <t>Mathematical Concepts and Applications in Mechanical Engineering and Mechatronics</t>
  </si>
  <si>
    <t>Ram, Mangey</t>
  </si>
  <si>
    <t>Knowledge Management Initiatives and Strategies in Small and Medium Enterprises</t>
  </si>
  <si>
    <t>Bencsik, Andrea</t>
  </si>
  <si>
    <t>Strategic Imperatives and Core Competencies in the Era of Robotics and Artificial Intelligence</t>
  </si>
  <si>
    <t>Batko, Roman</t>
  </si>
  <si>
    <t>3D Printing: Breakthroughs in Research and Practice</t>
  </si>
  <si>
    <t>Environmental Issues Surrounding Human Overpopulation</t>
  </si>
  <si>
    <t>Singh, Rajeev Pratap</t>
  </si>
  <si>
    <t>Student-Driven Learning Strategies for the 21st Century Classroom</t>
  </si>
  <si>
    <t>Securing Government Information and Data in Developing Countries</t>
  </si>
  <si>
    <t>Zoughbi, Saleem</t>
  </si>
  <si>
    <t>Interference Mitigation and Energy Management in 5G Heterogeneous Cellular Networks</t>
  </si>
  <si>
    <t>Sustainable Potato Production and the Impact of Climate Change</t>
  </si>
  <si>
    <t>Londhe, Sunil</t>
  </si>
  <si>
    <t>Resource Management and Efficiency in Cloud Computing Environments</t>
  </si>
  <si>
    <t>Turuk, Ashok Kumar</t>
  </si>
  <si>
    <t>Handbook of Research on the Facilitation of Civic Engagement through Community Art</t>
  </si>
  <si>
    <t>Hersey, Leigh Nanney</t>
  </si>
  <si>
    <t>Methods and Paradigms in Education Research</t>
  </si>
  <si>
    <t>Ling, Lorraine</t>
  </si>
  <si>
    <t>Cultural Influences on Architecture</t>
  </si>
  <si>
    <t>Koç, Gülşah</t>
  </si>
  <si>
    <t>Big Data Applications in the Telecommunications Industry</t>
  </si>
  <si>
    <t>Ouyang, Ye</t>
  </si>
  <si>
    <t>Artificial Intelligence: Concepts, Methodologies, Tools, and Applications</t>
  </si>
  <si>
    <t>Pharmaceutical Sciences: Breakthroughs in Research and Practice</t>
  </si>
  <si>
    <t>Remote Sensing Techniques and GIS Applications in Earth and Environmental Studies</t>
  </si>
  <si>
    <t>Santra, Abhisek</t>
  </si>
  <si>
    <t>Transforming Gaming and Computer Simulation Technologies across Industries</t>
  </si>
  <si>
    <t>Dubbels, Brock</t>
  </si>
  <si>
    <t>Applied Behavioral Economics Research and Trends</t>
  </si>
  <si>
    <t>Ianole, Rodica</t>
  </si>
  <si>
    <t>Security Solutions and Applied Cryptography in Smart Grid Communications</t>
  </si>
  <si>
    <t>Ferrag, Mohamed Amine</t>
  </si>
  <si>
    <t>The Internet of Things: Breakthroughs in Research and Practice</t>
  </si>
  <si>
    <t>Decision Management: Concepts, Methodologies, Tools, and Applications</t>
  </si>
  <si>
    <t>Theoretical and Practical Advancements for Fuzzy System Integration</t>
  </si>
  <si>
    <t>Li, Deng-Feng</t>
  </si>
  <si>
    <t>Handbook of Research on Innovative Pedagogies and Technologies for Online Learning in Higher Education</t>
  </si>
  <si>
    <t>Vu, Phu</t>
  </si>
  <si>
    <t>Workforce Development Theory and Practice in the Mental Health Sector</t>
  </si>
  <si>
    <t>Smith, Mark</t>
  </si>
  <si>
    <t>Multiculturalism and Technology-Enhanced Language Learning</t>
  </si>
  <si>
    <t>Tafazoli, Dara</t>
  </si>
  <si>
    <t>Designing for Human-Machine Symbiosis using the URANOS Model: Emerging Research and Opportunities</t>
  </si>
  <si>
    <t>Hadorn, Benjamin</t>
  </si>
  <si>
    <t>Solutions for High-Touch Communications in a High-Tech World</t>
  </si>
  <si>
    <t>Oral Healthcare and Technologies: Breakthroughs in Research and Practice</t>
  </si>
  <si>
    <t>Threat Mitigation and Detection of Cyber Warfare and Terrorism Activities</t>
  </si>
  <si>
    <t>Korstanje, Maximiliano E.</t>
  </si>
  <si>
    <t>Cybersecurity Breaches and Issues Surrounding Online Threat Protection</t>
  </si>
  <si>
    <t>Moore, Michelle</t>
  </si>
  <si>
    <t>Design Solutions for User-Centric Information Systems</t>
  </si>
  <si>
    <t>Advanced Research on Biologically Inspired Cognitive Architectures</t>
  </si>
  <si>
    <t>Optimal Management Strategies in Small and Medium Enterprises</t>
  </si>
  <si>
    <t>Vemic, Milan</t>
  </si>
  <si>
    <t>Game Theory Solutions for the Internet of Things: Emerging Research and Opportunities</t>
  </si>
  <si>
    <t>Social Media Performance Evaluation and Success Measurements</t>
  </si>
  <si>
    <t>Brown, Michael A. Sr.</t>
  </si>
  <si>
    <t>Applied Environmental Materials Science for Sustainability</t>
  </si>
  <si>
    <t>Kobayashi, Takaomi</t>
  </si>
  <si>
    <t>Handbook of Research on Entrepreneurial Development and Innovation within Smart Cities</t>
  </si>
  <si>
    <t>Evolution of the Post-Bureaucratic Organization</t>
  </si>
  <si>
    <t>Malizia, Pierfranco</t>
  </si>
  <si>
    <t>Advancing Cloud Database Systems and Capacity Planning with Dynamic Applications</t>
  </si>
  <si>
    <t>Driving Tourism through Creative Destinations and Activities</t>
  </si>
  <si>
    <t>Királ'ová, Alžbeta</t>
  </si>
  <si>
    <t>Political Scandal, Corruption, and Legitimacy in the Age of Social Media</t>
  </si>
  <si>
    <t>Demirhan, Kamil</t>
  </si>
  <si>
    <t>Resource Allocation in Next-Generation Broadband Wireless Access Networks</t>
  </si>
  <si>
    <t>Singhal, Chetna</t>
  </si>
  <si>
    <t>Handbook of Research on Driving STEM Learning with Educational Technologies</t>
  </si>
  <si>
    <t>Handbook of Research on Advanced Data Mining Techniques and Applications for Business Intelligence</t>
  </si>
  <si>
    <t>Trivedi, Shrawan Kumar</t>
  </si>
  <si>
    <t>Advanced Applications of Supercritical Fluids in Energy Systems</t>
  </si>
  <si>
    <t>Chen, Lin</t>
  </si>
  <si>
    <t>Kumar, N. Suresh</t>
  </si>
  <si>
    <t>Intercultural Responsiveness in the Second Language Learning Classroom</t>
  </si>
  <si>
    <t>Jones, Kathryn</t>
  </si>
  <si>
    <t>Innovative Research in Thermal Imaging for Biology and Medicine</t>
  </si>
  <si>
    <t>Vardasca, Ricardo</t>
  </si>
  <si>
    <t>Tourism and Opportunities for Economic Development in Asia</t>
  </si>
  <si>
    <t>Performance-Based Seismic Design of Concrete Structures and Infrastructures</t>
  </si>
  <si>
    <t>Media Law, Ethics, and Policy in the Digital Age</t>
  </si>
  <si>
    <t>Mhiripiri, Nhamo A.</t>
  </si>
  <si>
    <t>Multimedia Services and Applications in Mission Critical Communication Systems</t>
  </si>
  <si>
    <t>Al-Begain, Khalid</t>
  </si>
  <si>
    <t>Digitizing the Modern Library and the Transition from Print to Electronic</t>
  </si>
  <si>
    <t>Bhardwaj, Raj Kumar</t>
  </si>
  <si>
    <t>Handbook of Research on Soft Computing and Nature-Inspired Algorithms</t>
  </si>
  <si>
    <t>Shandilya, Shishir K.</t>
  </si>
  <si>
    <t>Advanced Nanomaterials for Water Engineering, Treatment, and Hydraulics</t>
  </si>
  <si>
    <t>Concept Parsing Algorithms (CPA) for Textual Analysis and Discovery: Emerging Research and Opportunities</t>
  </si>
  <si>
    <t>Shafrir, Uri</t>
  </si>
  <si>
    <t>Tang, Michael</t>
  </si>
  <si>
    <t>Combating Internet-Enabled Terrorism: Emerging Research and Opportunities</t>
  </si>
  <si>
    <t>Stacey, Emily</t>
  </si>
  <si>
    <t>Asharaf, S.</t>
  </si>
  <si>
    <t>Design Solutions and Innovations in Temporary Structures</t>
  </si>
  <si>
    <t>André, João</t>
  </si>
  <si>
    <t>Creating a Sustainable Vision of Nonviolence in Schools and Society</t>
  </si>
  <si>
    <t>Singh, Swaranjit</t>
  </si>
  <si>
    <t>Emerging Research in Play Therapy, Child Counseling, and Consultation</t>
  </si>
  <si>
    <t>Steen, Rheta LeAnne</t>
  </si>
  <si>
    <t>Handbook of Research on Machine Learning Innovations and Trends</t>
  </si>
  <si>
    <t>Healthcare Ethics and Training: Concepts, Methodologies, Tools, and Applications</t>
  </si>
  <si>
    <t>E-Health Communities and Online Self-Help Groups: Applications and Usage</t>
  </si>
  <si>
    <t>Smedberg, Åsa</t>
  </si>
  <si>
    <t>Software Process Improvement and Management: Approaches and Tools for Practical Development</t>
  </si>
  <si>
    <t>Fauzi, Shukor Sanim Mohd</t>
  </si>
  <si>
    <t>Microcontroller System Design Using PIC18F Processors</t>
  </si>
  <si>
    <t>Haddad, Nicolas K.</t>
  </si>
  <si>
    <t>Nanofluid Technologies and Thermal Convection Techniques</t>
  </si>
  <si>
    <t>Chand, Ramesh</t>
  </si>
  <si>
    <t>Advanced Image-Based Spam Detection and Filtering Techniques</t>
  </si>
  <si>
    <t>Dhavale, Sunita</t>
  </si>
  <si>
    <t>Sarmento, Rui</t>
  </si>
  <si>
    <t>9781522521716</t>
  </si>
  <si>
    <t>9781522521709</t>
  </si>
  <si>
    <t>Method of Systems Potential (MSP) Applications in Economics: Emerging Research and Opportunities</t>
  </si>
  <si>
    <t>Pushnoi, Grigorii</t>
  </si>
  <si>
    <t>2017</t>
  </si>
  <si>
    <t>http://services.igi-global.com/resolvedoi/resolve.aspx?doi=10.4018/978-1-5225-2170-9</t>
    <phoneticPr fontId="3" type="noConversion"/>
  </si>
  <si>
    <t>9781522516811</t>
  </si>
  <si>
    <t>9781522516804</t>
  </si>
  <si>
    <t>Strategic Information Systems and Technologies in Modern Organizations</t>
  </si>
  <si>
    <t>http://services.igi-global.com/resolvedoi/resolve.aspx?doi=10.4018/978-1-5225-1680-4</t>
    <phoneticPr fontId="3" type="noConversion"/>
  </si>
  <si>
    <t>9781522506522</t>
  </si>
  <si>
    <t>9781522506515</t>
  </si>
  <si>
    <t>Optimum Decision Making in Asset Management</t>
  </si>
  <si>
    <t>Carnero, María Carmen</t>
  </si>
  <si>
    <t>http://services.igi-global.com/resolvedoi/resolve.aspx?doi=10.4018/978-1-5225-0651-5</t>
    <phoneticPr fontId="3" type="noConversion"/>
  </si>
  <si>
    <t>9781466650282</t>
  </si>
  <si>
    <t>9781466650275</t>
  </si>
  <si>
    <t>Feral Information Systems Development: Managerial Implications</t>
  </si>
  <si>
    <t>Kerr, Donald Vance</t>
  </si>
  <si>
    <t>2014</t>
  </si>
  <si>
    <t>http://services.igi-global.com/resolvedoi/resolve.aspx?doi=10.4018/978-1-4666-5027-5</t>
    <phoneticPr fontId="3" type="noConversion"/>
  </si>
  <si>
    <t>9781522508250</t>
  </si>
  <si>
    <t>9781522508243</t>
  </si>
  <si>
    <t>Flipped Instruction Methods and Digital Technologies in the Language Learning Classroom</t>
  </si>
  <si>
    <t>Loucky, John Paul</t>
  </si>
  <si>
    <t>http://services.igi-global.com/resolvedoi/resolve.aspx?doi=10.4018/978-1-5225-0824-3</t>
    <phoneticPr fontId="3" type="noConversion"/>
  </si>
  <si>
    <t>9781522504849</t>
  </si>
  <si>
    <t>9781522504832</t>
  </si>
  <si>
    <t>Preparing Foreign Language Teachers for Next-Generation Education</t>
  </si>
  <si>
    <t>Lin, Chin-Hsi</t>
  </si>
  <si>
    <t>http://services.igi-global.com/resolvedoi/resolve.aspx?doi=10.4018/978-1-5225-0483-2</t>
    <phoneticPr fontId="3" type="noConversion"/>
  </si>
  <si>
    <t>9781466696303</t>
  </si>
  <si>
    <t>9781466696297</t>
  </si>
  <si>
    <t>Handbook of Research on Gaming Trends in P-12 Education</t>
  </si>
  <si>
    <t>2016</t>
  </si>
  <si>
    <t>http://services.igi-global.com/resolvedoi/resolve.aspx?doi=10.4018/978-1-4666-9629-7</t>
    <phoneticPr fontId="3" type="noConversion"/>
  </si>
  <si>
    <t>9781466643345</t>
  </si>
  <si>
    <t>9781466643338</t>
  </si>
  <si>
    <t>Mobile Pedagogy and Perspectives on Teaching and Learning</t>
  </si>
  <si>
    <t>McConatha, Douglas</t>
  </si>
  <si>
    <t>http://services.igi-global.com/resolvedoi/resolve.aspx?doi=10.4018/978-1-4666-4333-8</t>
    <phoneticPr fontId="3" type="noConversion"/>
  </si>
  <si>
    <t>9781522506300</t>
  </si>
  <si>
    <t>9781522506294</t>
  </si>
  <si>
    <t>Global Perspectives on Development Administration and Cultural Change</t>
  </si>
  <si>
    <t>Afolayan, Gbenga Emmanuel</t>
  </si>
  <si>
    <t>http://services.igi-global.com/resolvedoi/resolve.aspx?doi=10.4018/978-1-5225-0629-4</t>
    <phoneticPr fontId="3" type="noConversion"/>
  </si>
  <si>
    <t>9781522518785</t>
  </si>
  <si>
    <t>9781522518778</t>
  </si>
  <si>
    <t>Web Data Mining and the Development of Knowledge-Based Decision Support Systems</t>
  </si>
  <si>
    <t>http://services.igi-global.com/resolvedoi/resolve.aspx?doi=10.4018/978-1-5225-1877-8</t>
    <phoneticPr fontId="3" type="noConversion"/>
  </si>
  <si>
    <t>9781522502296</t>
  </si>
  <si>
    <t>9781522502289</t>
  </si>
  <si>
    <t>Identifying, Treating, and Preventing Childhood Trauma in Rural Communities</t>
  </si>
  <si>
    <t>Baker, Marion</t>
  </si>
  <si>
    <t>http://services.igi-global.com/resolvedoi/resolve.aspx?doi=10.4018/978-1-5225-0228-9</t>
    <phoneticPr fontId="3" type="noConversion"/>
  </si>
  <si>
    <t>9781466699090</t>
  </si>
  <si>
    <t>9781466699083</t>
  </si>
  <si>
    <t>International Perspectives on Socio-Economic Development in the Era of Globalization</t>
  </si>
  <si>
    <t>Sen, Saurabh</t>
  </si>
  <si>
    <t>http://services.igi-global.com/resolvedoi/resolve.aspx?doi=10.4018/978-1-4666-9908-3</t>
    <phoneticPr fontId="3" type="noConversion"/>
  </si>
  <si>
    <t>9781466686748</t>
  </si>
  <si>
    <t>9781466686731</t>
  </si>
  <si>
    <t>Mission Adaptive Display Technologies and Operational Decision Making in Aviation</t>
  </si>
  <si>
    <t>Smith, Kevin M.</t>
  </si>
  <si>
    <t>2015</t>
  </si>
  <si>
    <t>http://services.igi-global.com/resolvedoi/resolve.aspx?doi=10.4018/978-1-4666-8673-1</t>
    <phoneticPr fontId="3" type="noConversion"/>
  </si>
  <si>
    <t>9781466645554</t>
  </si>
  <si>
    <t>9781466645547</t>
  </si>
  <si>
    <t>Research Developments in Wood Engineering and Technology</t>
  </si>
  <si>
    <t>Aguilera, Alfredo</t>
  </si>
  <si>
    <t>http://services.igi-global.com/resolvedoi/resolve.aspx?doi=10.4018/978-1-4666-4554-7</t>
    <phoneticPr fontId="3" type="noConversion"/>
  </si>
  <si>
    <t>9781522520764</t>
  </si>
  <si>
    <t>9781522520757</t>
  </si>
  <si>
    <t>http://services.igi-global.com/resolvedoi/resolve.aspx?doi=10.4018/978-1-5225-2075-7</t>
    <phoneticPr fontId="3" type="noConversion"/>
  </si>
  <si>
    <t>Quality Assurance and Assessment Practices in Translation and Interpreting</t>
  </si>
  <si>
    <t>Huertas-Barros, Elsa</t>
  </si>
  <si>
    <t>Handbook of Research on Engineering Education in a Global Context</t>
  </si>
  <si>
    <t>Smirnova, Elena V.</t>
  </si>
  <si>
    <t>Social Media in Education: Breakthroughs in Research and Practice</t>
  </si>
  <si>
    <t>Cross-Cultural Perspectives on Technology-Enhanced Language Learning</t>
  </si>
  <si>
    <t>Augmented Reality for Enhanced Learning Environments</t>
  </si>
  <si>
    <t>Ruiz, Gerardo Reyes</t>
  </si>
  <si>
    <t>Learner Experience and Usability in Online Education</t>
  </si>
  <si>
    <t>Bouchrika, Imed</t>
  </si>
  <si>
    <t>Computer-Mediated Learning for Workforce Development</t>
  </si>
  <si>
    <t>Mentor, Dominic</t>
  </si>
  <si>
    <t>Cubbage, Jayne</t>
  </si>
  <si>
    <t>Pedagogy Development for Teaching Online Music</t>
  </si>
  <si>
    <t>Johnson, Carol</t>
  </si>
  <si>
    <t>Innovative Applications of Online Pedagogy and Course Design</t>
  </si>
  <si>
    <t>Sharma, Ramesh C.</t>
  </si>
  <si>
    <t>Assessing Social Support and Stress in Autism-Focused Virtual Communities: Emerging Research and Opportunities</t>
  </si>
  <si>
    <t>Saha, Amitav</t>
  </si>
  <si>
    <t>Teacher Training and Professional Development: Concepts, Methodologies, Tools, and Applications</t>
  </si>
  <si>
    <t>Equity, Equality, and Reform in Contemporary Public Education</t>
  </si>
  <si>
    <t>Grant, Marquis C.</t>
  </si>
  <si>
    <t>Online Course Management: Concepts, Methodologies, Tools, and Applications</t>
  </si>
  <si>
    <t>Handbook of Research on Integrating Technology Into Contemporary Language Learning and Teaching</t>
  </si>
  <si>
    <t>Technology Management in Organizational and Societal Contexts</t>
  </si>
  <si>
    <t>Borchers, Andrew</t>
  </si>
  <si>
    <t>Differentiated Instructional Design for Multicultural Environments: Emerging Research and Opportunities</t>
  </si>
  <si>
    <t>Stottlemyer, Diane</t>
  </si>
  <si>
    <t>Handbook of Research on Educational Design and Cloud Computing in Modern Classroom Settings</t>
  </si>
  <si>
    <t>Koutsopoulos, K.C.</t>
  </si>
  <si>
    <t>Innovative Practices in Teacher Preparation and Graduate-Level Teacher Education Programs</t>
  </si>
  <si>
    <t>K-12 STEM Education: Breakthroughs in Research and Practice</t>
  </si>
  <si>
    <t>Deviant Communication in Teacher-Student Interactions: Emerging Research and Opportunities</t>
  </si>
  <si>
    <t>Gilchrist-Petty, Eletra</t>
  </si>
  <si>
    <t>Fostering Effective Student Communication in Online Graduate Courses</t>
  </si>
  <si>
    <t>Digital Transformation and Innovation in Chinese Education</t>
  </si>
  <si>
    <t>Spires, Hiller A.</t>
  </si>
  <si>
    <t>Applications of CALL Theory in ESL and EFL Environments</t>
  </si>
  <si>
    <t>Perren, James</t>
  </si>
  <si>
    <t>Cases on Audio-Visual Media in Language Education</t>
  </si>
  <si>
    <t>Xiang, Catherine Hua</t>
  </si>
  <si>
    <t>Gaming Innovations in Higher Education: Emerging Research and Opportunities</t>
  </si>
  <si>
    <t>Costello, Robert</t>
  </si>
  <si>
    <t>Personalized Professional Learning for Educators: Emerging Research and Opportunities</t>
  </si>
  <si>
    <t>Meeuwse, Kristi</t>
  </si>
  <si>
    <t>Managing Self-Directed Learning in Primary School Education: Emerging Research and Opportunities</t>
  </si>
  <si>
    <t>Deur, Penny Van</t>
  </si>
  <si>
    <t>Formative Assessment Practices for Pre-Service Teacher Practicum Feedback: Emerging Research and Opportunities</t>
  </si>
  <si>
    <t>Richardson, Tony</t>
  </si>
  <si>
    <t>Integrating an Awareness of Selfhood and Society into Virtual Learning</t>
  </si>
  <si>
    <t>Stricker, Andrew</t>
  </si>
  <si>
    <t>Digital Tools for Seamless Learning</t>
  </si>
  <si>
    <t>Şad, Süleyman Nihat</t>
  </si>
  <si>
    <t>Integration of Cloud Technologies in Digitally Networked Classrooms and Learning Communities</t>
  </si>
  <si>
    <t>Gurung, Binod</t>
  </si>
  <si>
    <t>Mobile and Blended Learning Innovations for Improved Learning Outcomes</t>
  </si>
  <si>
    <t>Utilizing Virtual and Personal Learning Environments for Optimal Learning</t>
  </si>
  <si>
    <t>Terry, Krista</t>
  </si>
  <si>
    <t>Economic and Geopolitical Perspectives of the Commonwealth of Independent States and Eurasia</t>
  </si>
  <si>
    <t>Karnaukhova, Oxana</t>
  </si>
  <si>
    <t>Mugambwa, Joshua</t>
  </si>
  <si>
    <t>Regaining Global Stability After the Financial Crisis</t>
  </si>
  <si>
    <t>Sergi, Bruno</t>
  </si>
  <si>
    <t>Employment Protection Legislation in Emerging Economies</t>
  </si>
  <si>
    <t>Amine, Samir</t>
  </si>
  <si>
    <t>Fractal Approaches for Modeling Financial Assets and Predicting Crises</t>
  </si>
  <si>
    <t>Nekrasova, Inna</t>
  </si>
  <si>
    <t>Regulation and Structure in Economic Virtualization: Emerging Research and Opportunities</t>
  </si>
  <si>
    <t>Ushakov, Denis</t>
  </si>
  <si>
    <t>Economic Growth in Latin America and the Impact of the Global Financial Crisis</t>
  </si>
  <si>
    <t>Garita, Mauricio</t>
  </si>
  <si>
    <t>Uncertainties and Risk Assessment in Trade Relations</t>
  </si>
  <si>
    <t>Ojo, Marianne</t>
  </si>
  <si>
    <t>Economic Reforms for Global Competitiveness</t>
  </si>
  <si>
    <t>Ranking Economic Performance and Efficiency in the Global Market: Emerging Research and Opportunities</t>
  </si>
  <si>
    <t>Gussen, Benjamen Franklen</t>
  </si>
  <si>
    <t>Geopolitics and Strategic Management in the Global Economy</t>
  </si>
  <si>
    <t>Presenza, Angelo</t>
  </si>
  <si>
    <t>Handbook of Research on Policies and Practices for Sustainable Economic Growth and Regional Development</t>
  </si>
  <si>
    <t>Korres, George M.</t>
  </si>
  <si>
    <t>Social, Health, and Environmental Infrastructures for Economic Growth</t>
  </si>
  <si>
    <t>Handbook of Research on Green Economic Development Initiatives and Strategies</t>
  </si>
  <si>
    <t>Erdoğdu, M. Mustafa</t>
  </si>
  <si>
    <t>Regional Economic Integration and the Global Financial System</t>
  </si>
  <si>
    <t>Sorhun, Engin</t>
  </si>
  <si>
    <t>Practice and Progress in Social Design and Sustainability</t>
  </si>
  <si>
    <t>Pande, Rekah</t>
  </si>
  <si>
    <t>Exploring the Role of Social Media in Transnational Advocacy</t>
  </si>
  <si>
    <t>Corporate and Global Standardization Initiatives in Contemporary Society</t>
  </si>
  <si>
    <t>Computational Psychoanalysis and Formal Bi-Logic Frameworks</t>
  </si>
  <si>
    <t>Iurato, Giuseppe</t>
  </si>
  <si>
    <t>Global Implications of Emerging Technology Trends</t>
  </si>
  <si>
    <t>Ethical ISSUES in Social Work Practice</t>
  </si>
  <si>
    <t>Sandu, Antonio</t>
  </si>
  <si>
    <t>Psychological, Social, and Cultural Aspects of Internet Addiction</t>
  </si>
  <si>
    <t>Bozoglan, Bahadir</t>
  </si>
  <si>
    <t>Global Perspectives on Human Migration, Asylum, and Security</t>
  </si>
  <si>
    <t>Social ISSUES in the Workplace: Breakthroughs in Research and Practice</t>
  </si>
  <si>
    <t>Redefining Translation and Interpretation in Cultural Evolution</t>
  </si>
  <si>
    <t>Seel, Olaf Immanuel</t>
  </si>
  <si>
    <t>HCI Challenges and Privacy Preservation in Big Data Security</t>
  </si>
  <si>
    <t>Lopez, Daphne</t>
  </si>
  <si>
    <t>Global Ideologies Surrounding Children's Rights and Social Justice</t>
  </si>
  <si>
    <t>Tshabangu, Icarbord</t>
  </si>
  <si>
    <t>Optimizing Human-Computer Interaction With Emerging Technologies</t>
  </si>
  <si>
    <t>Cipolla-Ficarra, Francisco</t>
  </si>
  <si>
    <t>Urbanization and Its Impact on Socio-Economic Growth in Developing Regions</t>
  </si>
  <si>
    <t>Benna, Umar</t>
  </si>
  <si>
    <t>Handbook of Research on Promoting Peace Through Practice, Academia, and the Arts</t>
  </si>
  <si>
    <t>Lutfy, Mohamed Walid</t>
  </si>
  <si>
    <t>Handbook of Research on Transmedia Storytelling and Narrative Strategies</t>
  </si>
  <si>
    <t>Yilmaz, Recep</t>
  </si>
  <si>
    <t>Sensing Techniques for Next Generation Cognitive Radio Networks</t>
  </si>
  <si>
    <t>Bagwari, Ashish</t>
  </si>
  <si>
    <t>Cross-Media Authentication and Verification: Emerging Research and Opportunities</t>
  </si>
  <si>
    <t>Katsaounidou, Anastasia N.</t>
  </si>
  <si>
    <t>Intimacy and Developing Personal Relationships in the Virtual World</t>
  </si>
  <si>
    <t>Gopalan, Rejani Thudalikunnil</t>
  </si>
  <si>
    <t>Optimizing E-Participation Initiatives Through Social Media</t>
  </si>
  <si>
    <t>Munoz, Laura</t>
  </si>
  <si>
    <t>Mobile Applications and Solutions for Social Inclusion</t>
  </si>
  <si>
    <t>Paiva, Sara</t>
  </si>
  <si>
    <t>Enhancing Art, Culture, and Design With Technological Integration</t>
  </si>
  <si>
    <t>Reconceptualizing New Media and Intercultural Communication in a Networked Society</t>
  </si>
  <si>
    <t>Bilge, Nurhayat</t>
  </si>
  <si>
    <t>Cyber Harassment and Policy Reform in the Digital Age: Emerging Research and Opportunities</t>
  </si>
  <si>
    <t>McNeal, Ramona S.</t>
  </si>
  <si>
    <t>Content Generation Through Narrative Communication and Simulation</t>
  </si>
  <si>
    <t>Ogata, Takashi</t>
  </si>
  <si>
    <t>Empirical Research on Semiotics and Visual Rhetoric</t>
  </si>
  <si>
    <t>Danesi, Marcel</t>
  </si>
  <si>
    <t>Exploring Transmedia Journalism in the Digital Age</t>
  </si>
  <si>
    <t>Gambarato, Renira Rampazzo</t>
  </si>
  <si>
    <t>Affordability ISSUES Surrounding the Use of ICT for Development and Poverty Reduction</t>
  </si>
  <si>
    <t>Takavarasha, Sam Jr.</t>
  </si>
  <si>
    <t>Centrality Metrics for Complex Network Analysis: Emerging Research and Opportunities</t>
  </si>
  <si>
    <t>Media Influence: Breakthroughs in Research and Practice</t>
  </si>
  <si>
    <t>Global Perspectives on Frameworks for Integrated Reporting: Emerging Research and Opportunities</t>
  </si>
  <si>
    <t>Dragu, Ioana</t>
  </si>
  <si>
    <t>Selfies as a Mode of Social Media and Work Space Research</t>
  </si>
  <si>
    <t>Examining Cloud Computing Technologies Through the Internet of Things</t>
  </si>
  <si>
    <t>Tomar, Pradeep</t>
  </si>
  <si>
    <t>Advanced Mobile Technologies for Secure Transaction Processing: Emerging Research and Opportunities</t>
  </si>
  <si>
    <t>Kumar, Raghvendra</t>
  </si>
  <si>
    <t>Graph Theoretic Approaches for Analyzing Large-Scale Social Networks</t>
  </si>
  <si>
    <t>Handbook of Research on Advanced Concepts in Real-Time Image and Video Processing</t>
  </si>
  <si>
    <t>Anwar, Md. Imtiyaz</t>
  </si>
  <si>
    <t>Powering the Internet of Things With 5G Networks</t>
  </si>
  <si>
    <t>Mohanan, Vasuky</t>
  </si>
  <si>
    <t>Emerging Trends and Applications of the Internet of Things</t>
  </si>
  <si>
    <t>Kocovic, Petar</t>
  </si>
  <si>
    <t>Handbook of Research on Advanced Trends in Microwave and Communication Engineering</t>
  </si>
  <si>
    <t>Oualkadi, Ahmed El</t>
  </si>
  <si>
    <t>Applying the Actor-Network Theory in Media Studies</t>
  </si>
  <si>
    <t>Spöhrer, Markus</t>
  </si>
  <si>
    <t>Political Influence of the Media in Developing Countries</t>
  </si>
  <si>
    <t>Mukhongo, Lynete Lusike</t>
  </si>
  <si>
    <t>Power, Surveillance, and Culture in YouTube™'s Digital Sphere</t>
  </si>
  <si>
    <t>Crick, Matthew</t>
  </si>
  <si>
    <t>Emerging Research on Networked Multimedia Communication Systems</t>
  </si>
  <si>
    <t>Kanellopoulos, Dimitris</t>
  </si>
  <si>
    <t>Maintaining Sustainable Accounting Systems in Small Business</t>
  </si>
  <si>
    <t>Carvalho, Luísa Cagica</t>
  </si>
  <si>
    <t>Accountancy and the Changing Landscape of Integrated Reporting</t>
  </si>
  <si>
    <t>Alternative Decision-Making Models for Financial Portfolio Management: Emerging Research and Opportunities</t>
  </si>
  <si>
    <t>Spaseski, Narela</t>
  </si>
  <si>
    <t>Financial Entrepreneurship for Economic Growth in Emerging Nations</t>
  </si>
  <si>
    <t>Woldie, Atsede</t>
  </si>
  <si>
    <t>Value Relevance of Accounting Information in Capital Markets</t>
  </si>
  <si>
    <t>International Cross-Listing of Chinese Firms</t>
  </si>
  <si>
    <t>Liu, Lixian</t>
  </si>
  <si>
    <t>Effective Open Innovation Strategies in Modern Business: Emerging Research and Opportunities</t>
  </si>
  <si>
    <t>Diverse Methods in Customer Relationship Marketing and Management</t>
  </si>
  <si>
    <t>Enhancing Competitive Advantage With Dynamic Management and Engineering</t>
  </si>
  <si>
    <t>Machado, Carolina</t>
  </si>
  <si>
    <t>Social Media Marketing: Breakthroughs in Research and Practice</t>
  </si>
  <si>
    <t>Utilizing Consumer Psychology in Business Strategy</t>
  </si>
  <si>
    <t>Dalgic, Tevfik</t>
  </si>
  <si>
    <t>Entrepreneurship, Collaboration, and Innovation in the Modern Business Era</t>
  </si>
  <si>
    <t>Handbook of Research on Strategic Innovation Management for Improved Competitive Advantage</t>
  </si>
  <si>
    <t>E-Manufacturing and E-Service Strategies in Contemporary Organizations</t>
  </si>
  <si>
    <t>Gwangwava, Norman</t>
  </si>
  <si>
    <t>Internet Taxation and E-Retailing Law in the Global Context</t>
  </si>
  <si>
    <t>Moid, Sana</t>
  </si>
  <si>
    <t>Corporate Social Responsibility for Valorization of Cultural Organizations</t>
  </si>
  <si>
    <t>Dueñas, María del Pilar Muñoz</t>
  </si>
  <si>
    <t>Organizational Leadership for the Fourth Industrial Revolution: Emerging Research and Opportunities</t>
  </si>
  <si>
    <t>Smith, Peter A.C.</t>
  </si>
  <si>
    <t>Improving E-Commerce Web Applications Through Business Intelligence Techniques</t>
  </si>
  <si>
    <t>Statistical Tools and Analysis in Human Resources Management</t>
  </si>
  <si>
    <t>Bhattacharyya, Dipak Kumar</t>
  </si>
  <si>
    <t>Business Strategies and Advanced Techniques for Entrepreneurship 4.0</t>
  </si>
  <si>
    <t>Saiz-Alvarez, Jose Manuel</t>
  </si>
  <si>
    <t>Ethics and Decision-Making for Sustainable Business Practices</t>
  </si>
  <si>
    <t>Management Strategies and Technology Fluidity in the Asian Business Sector</t>
  </si>
  <si>
    <t>Management Control Systems in Complex Settings: Emerging Research and Opportunities</t>
  </si>
  <si>
    <t>Zanin, Filippo</t>
  </si>
  <si>
    <t>Supporting Innovation Through National R&amp;D Programs: Emerging Research and Opportunities</t>
  </si>
  <si>
    <t>Porath, Amiram</t>
  </si>
  <si>
    <t>Arab Women and Their Evolving Roles in the Global Business Landscape</t>
  </si>
  <si>
    <t>Al-A'ali, Ebtihaj</t>
  </si>
  <si>
    <t>Risk and Contingency Management: Breakthroughs in Research and Practice</t>
  </si>
  <si>
    <t>Entrepreneurship and Business Development in the Renewable Energy Sector</t>
  </si>
  <si>
    <t>Tantau, Adrian Dumitru</t>
  </si>
  <si>
    <t>Business Architectures for Risk Assessment and Strategic Planning: Emerging Research and Opportunities</t>
  </si>
  <si>
    <t>Global Practices in Knowledge Management for Societal and Organizational Development</t>
  </si>
  <si>
    <t>Baporikar, Neeta</t>
  </si>
  <si>
    <t>Creativity in Workforce Development and Innovation: Emerging Research and Opportunities</t>
  </si>
  <si>
    <t>Fashion and Textiles: Breakthroughs in Research and Practice</t>
  </si>
  <si>
    <t>Teaching Human Resources and Organizational Behavior at the College Level</t>
  </si>
  <si>
    <t>Mendy, John</t>
  </si>
  <si>
    <t>http://services.igi-global.com/resolvedoi/resolve.aspx?doi=10.4018/978-1-5225-2820-3</t>
  </si>
  <si>
    <t>Business Models for Renewable Energy Initiatives: Emerging Research and Opportunities</t>
  </si>
  <si>
    <t>Tantau, Adrian</t>
  </si>
  <si>
    <t>Global Observations of the Influence of Culture on Consumer Buying Behavior</t>
  </si>
  <si>
    <t>Global Entrepreneurship and New Venture Creation in the Sharing Economy</t>
  </si>
  <si>
    <t>Novel Six Sigma Approaches to Risk Assessment and Management</t>
  </si>
  <si>
    <t>Bubevski, Vojo</t>
  </si>
  <si>
    <t>Managerial Strategies for Business Sustainability During Turbulent Times</t>
  </si>
  <si>
    <t>Leon, Ramona-Diana</t>
  </si>
  <si>
    <t>Social Media for Knowledge Management Applications in Modern Organizations</t>
  </si>
  <si>
    <t>Virgilio, Francesca Di</t>
  </si>
  <si>
    <t>Information Technology Risk Management and Compliance in Modern Organizations</t>
  </si>
  <si>
    <t>Green Initiatives for Business Sustainability and Value Creation</t>
  </si>
  <si>
    <t>Paul, Arun Kumar</t>
  </si>
  <si>
    <t>Enterprise Resiliency in the Continuum of Change: Emerging Research and Opportunities</t>
  </si>
  <si>
    <t>Bhattarai, Raj Kumar</t>
  </si>
  <si>
    <t>The Internet of Things in the Modern Business Environment</t>
  </si>
  <si>
    <t>Applying Neuroscience to Business Practice</t>
  </si>
  <si>
    <t>Green Supply Chain Management for Sustainable Business Practice</t>
  </si>
  <si>
    <t>Khan, Mehmood</t>
  </si>
  <si>
    <t>Marketing Techniques for Financial Inclusion and Development</t>
  </si>
  <si>
    <t>Jain, Dhiraj</t>
  </si>
  <si>
    <t>Advances in Data Communications and Networking for Digital Business Transformation</t>
  </si>
  <si>
    <t>Examining the Role of Women Entrepreneurs in Emerging Economies</t>
  </si>
  <si>
    <t>Chitakunye, David</t>
  </si>
  <si>
    <t>Analyzing the Impacts of Industry 4.0 in Modern Business Environments</t>
  </si>
  <si>
    <t>Brunet-Thornton, Richard</t>
  </si>
  <si>
    <t>Social Network Analytics for Contemporary Business Organizations</t>
  </si>
  <si>
    <t>Bansal, Himani</t>
  </si>
  <si>
    <t>Sports Media, Marketing, and Management: Breakthroughs in Research and Practice</t>
  </si>
  <si>
    <t>Lean Six Sigma for Optimal System Performance in Manufacturing and Service Organizations: Emerging Research and Opportunities</t>
  </si>
  <si>
    <t>Tetteh, Edem G.</t>
  </si>
  <si>
    <t>Analyzing Attachment and Consumers' Emotions: Emerging Research and Opportunities</t>
  </si>
  <si>
    <t>Pedeliento, Giuseppe</t>
  </si>
  <si>
    <t>Contemporary Identity and Access Management Architectures: Emerging Research and Opportunities</t>
  </si>
  <si>
    <t>Ng, Alex Chi Keung</t>
  </si>
  <si>
    <t>Building Brand Identity in the Age of Social Media: Emerging Research and Opportunities</t>
  </si>
  <si>
    <t>Ekhlassi, Amir</t>
  </si>
  <si>
    <t>Neuromarketing and Big Data Analytics for Strategic Consumer Engagement: Emerging Research and Opportunities</t>
  </si>
  <si>
    <t>Sousa, Joana Coutinho de</t>
  </si>
  <si>
    <t>Supply Chain Management Strategies and Risk Assessment in Retail Environments</t>
  </si>
  <si>
    <t>Kumar, Akhilesh</t>
  </si>
  <si>
    <t>Holistic Approaches to Brand Culture and Communication Across Industries</t>
  </si>
  <si>
    <t>Dasgupta, Sabyasachi</t>
  </si>
  <si>
    <t>Always-On Enterprise Information Systems for Modern Organizations</t>
  </si>
  <si>
    <t>Bajgoric, Nijaz</t>
  </si>
  <si>
    <t>Driving Green Consumerism Through Strategic Sustainability Marketing</t>
  </si>
  <si>
    <t>Quoquab, Farzana</t>
  </si>
  <si>
    <t>Operations and Service Management: Concepts, Methodologies, Tools, and Applications</t>
  </si>
  <si>
    <t>Digital Marketing Strategies for Fashion and Luxury Brands</t>
  </si>
  <si>
    <t>Ozuem, Wilson</t>
  </si>
  <si>
    <t>User Innovation and the Entrepreneurship Phenomenon in the Digital Economy</t>
  </si>
  <si>
    <t>Exploring the Rise of Fandom in Contemporary Consumer Culture</t>
  </si>
  <si>
    <t>Driving Customer Appeal Through the Use of Emotional Branding</t>
  </si>
  <si>
    <t>Garg, Ruchi</t>
  </si>
  <si>
    <t>Cloud Computing Technologies for Green Enterprises</t>
  </si>
  <si>
    <t>Building Brand Equity and Consumer Trust Through Radical Transparency Practices</t>
  </si>
  <si>
    <t>Veselinova, Elena</t>
  </si>
  <si>
    <t>Multi-Criteria Decision Making for the Management of Complex Systems</t>
  </si>
  <si>
    <t>Voronin, Albert</t>
  </si>
  <si>
    <t>Handbook of Research on Manufacturing Process Modeling and Optimization Strategies</t>
  </si>
  <si>
    <t>Das, Raja</t>
  </si>
  <si>
    <t>Maximizing Information System Availability Through Bayesian Belief Network Approaches: Emerging Research and Opportunities</t>
  </si>
  <si>
    <t>Ibrahimović, Semir</t>
  </si>
  <si>
    <t>Green Marketing and Environmental Responsibility in Modern Corporations</t>
  </si>
  <si>
    <t>Esakki, Thangasamy</t>
  </si>
  <si>
    <t>Ethics and Sustainability in Global Supply Chain Management</t>
  </si>
  <si>
    <t>Advanced Fashion Technology and Operations Management</t>
  </si>
  <si>
    <t>Vecchi, Alessandra</t>
  </si>
  <si>
    <t>Strategic Uses of Social Media for Improved Customer Retention</t>
  </si>
  <si>
    <t>Al-Rabayah, Wafaa</t>
  </si>
  <si>
    <t>Handbook of Research on Intelligent Techniques and Modeling Applications in Marketing Analytics</t>
  </si>
  <si>
    <t>Organizational Productivity and Performance Measurements Using Predictive Modeling and Analytics</t>
  </si>
  <si>
    <t>Effective Standardization Management in Corporate Settings</t>
  </si>
  <si>
    <t>GIS Applications in the Tourism and Hospitality Industry</t>
  </si>
  <si>
    <t>Chaudhuri, Somnath</t>
  </si>
  <si>
    <t>Global Perspectives on Religious Tourism and Pilgrimage</t>
  </si>
  <si>
    <t>Legal and Economic Considerations Surrounding Reproductive Tourism: Emerging Research and Opportunities</t>
  </si>
  <si>
    <t>Paraskou, Anastasia</t>
  </si>
  <si>
    <t>Handbook of Research on Technological Developments for Cultural Heritage and eTourism Applications</t>
  </si>
  <si>
    <t>Rodrigues, João M. F.</t>
  </si>
  <si>
    <t>Medical Tourism: Breakthroughs in Research and Practice</t>
  </si>
  <si>
    <t>Innovative Perspectives on Tourism Discourse</t>
  </si>
  <si>
    <t>Bielenia-Grajewska, Magdalena</t>
  </si>
  <si>
    <t>Virtual Traumascapes and Exploring the Roots of Dark Tourism</t>
  </si>
  <si>
    <t>Korstanje, Maximiliano</t>
  </si>
  <si>
    <t>Strategic Place Branding Methodologies and Theory for Tourist Attraction</t>
  </si>
  <si>
    <t>Bayraktar, Ahmet</t>
  </si>
  <si>
    <t>Global Place Branding Campaigns across Cities, Regions, and Nations</t>
  </si>
  <si>
    <t>Effective Knowledge Management Systems in Modern Society</t>
  </si>
  <si>
    <t>Contemporary Knowledge and Systems Science</t>
  </si>
  <si>
    <t>Lee, W. B.</t>
  </si>
  <si>
    <t>Enhancing Knowledge Discovery and Innovation in the Digital Era</t>
  </si>
  <si>
    <t>Lytras, Miltiadis D.</t>
  </si>
  <si>
    <t>Library and Information Science in the Age of MOOCs</t>
  </si>
  <si>
    <t>Kaushik, Anna</t>
  </si>
  <si>
    <t>Changing the Scope of Library Instruction in the Digital Age</t>
  </si>
  <si>
    <t>Bhattacharyya, Swati</t>
  </si>
  <si>
    <t>Handbook of Research on Innovative Techniques, Trends, and Analysis for Optimized Research Methods</t>
  </si>
  <si>
    <t>Developing In-House Digital Tools in Library Spaces</t>
  </si>
  <si>
    <t>Costello, Laura</t>
  </si>
  <si>
    <t>Cross-Cultural Analysis of Image-Based Assessments: Emerging Research and Opportunities</t>
  </si>
  <si>
    <t>Keller, Lisa</t>
  </si>
  <si>
    <t>Deep Learning Innovations and Their Convergence With Big Data</t>
  </si>
  <si>
    <t>Karthik, S.</t>
  </si>
  <si>
    <t>Modern Technologies for Big Data Classification and Clustering</t>
  </si>
  <si>
    <t>Seetha, Hari</t>
  </si>
  <si>
    <t>Game Theory: Breakthroughs in Research and Practice</t>
  </si>
  <si>
    <t>Data Visualization and Statistical Literacy for Open and Big Data</t>
  </si>
  <si>
    <t>Prodromou, Theodosia</t>
  </si>
  <si>
    <t>Library Technology Funding, Planning, and Deployment</t>
  </si>
  <si>
    <t>Big Data: Concepts, Methodologies, Tools, and Applications</t>
  </si>
  <si>
    <t>Optimizing Health Literacy for Improved Clinical Practices</t>
  </si>
  <si>
    <t>Papalois, Vassilios E.</t>
  </si>
  <si>
    <t>Research Advancements in Pharmaceutical, Nutritional and Industrial Enzymology</t>
  </si>
  <si>
    <t>Bharati, Shashi Lata</t>
  </si>
  <si>
    <t>Big Data Analytics in HIV/AIDS Research</t>
  </si>
  <si>
    <t>Al-Mazari, Ali</t>
  </si>
  <si>
    <t>Advanced Systems for Improved Public Healthcare and Disease Prevention: Emerging Research and Opportunities</t>
  </si>
  <si>
    <t>Edoh, Thierry Oscar</t>
  </si>
  <si>
    <t>Global Perspectives on Health Communication in the Age of Social Media</t>
  </si>
  <si>
    <t>Sekalala, Seif</t>
  </si>
  <si>
    <t>Healthcare Administration for Patient Safety and Engagement</t>
  </si>
  <si>
    <t>Rosiek-Kryszewska, Aleksandra</t>
  </si>
  <si>
    <t>Food Science and Nutrition: Breakthroughs in Research and Practice</t>
  </si>
  <si>
    <t>Big Data Management and the Internet of Things for Improved Health Systems</t>
  </si>
  <si>
    <t>Mishra, Brojo Kishore</t>
  </si>
  <si>
    <t>Nutraceuticals and Innovative Food Products for Healthy Living and Preventive Care</t>
  </si>
  <si>
    <t>Verma, Amit</t>
  </si>
  <si>
    <t>Research-Based Perspectives on the Psychophysiology of Yoga</t>
  </si>
  <si>
    <t>Telles, Shirley</t>
  </si>
  <si>
    <t>Sustainable Health and Long-Term Care Solutions for an Aging Population</t>
  </si>
  <si>
    <t>Fong, Ben</t>
  </si>
  <si>
    <t>Internet of Things and Advanced Application in Healthcare</t>
  </si>
  <si>
    <t>Reis, Catarina I.</t>
  </si>
  <si>
    <t>Electrocardiogram Signal Classification and Machine Learning: Emerging Research and Opportunities</t>
  </si>
  <si>
    <t>Moein, Sara</t>
  </si>
  <si>
    <t>Nature-Inspired Intelligent Techniques for Solving Biomedical Engineering Problems</t>
  </si>
  <si>
    <t>Novel Applications of Virtual Communities in Healthcare Settings</t>
  </si>
  <si>
    <t>Biomedical Signal and Image Processing in Patient Care</t>
  </si>
  <si>
    <t>Kolekar, Maheshkumar H.</t>
  </si>
  <si>
    <t>Next-Generation Mobile and Pervasive Healthcare Solutions</t>
  </si>
  <si>
    <t>Machado, Jose</t>
  </si>
  <si>
    <t>Applying Big Data Analytics in Bioinformatics and Medicine</t>
  </si>
  <si>
    <t>Emerging Applications, Perspectives, and Discoveries in Cardiovascular Research</t>
  </si>
  <si>
    <t>Malhotra, Ashim</t>
  </si>
  <si>
    <t>Applications of Neuroscience: Breakthroughs in Research and Practice</t>
  </si>
  <si>
    <t>Ophthalmology: Breakthroughs in Research and Practice</t>
  </si>
  <si>
    <t>Microbial Cultures and Enzymes in Dairy Technology</t>
  </si>
  <si>
    <t>Budak, Şebnem Öztürkoğlu</t>
  </si>
  <si>
    <t>Nursing Education, Administration, and Informatics: Breakthroughs in Research and Practice</t>
  </si>
  <si>
    <t>Stochastic Methods for Estimation and Problem Solving in Engineering</t>
  </si>
  <si>
    <t>Kadry, Seifedine</t>
  </si>
  <si>
    <t>Design and Optimization of Mechanical Engineering Products</t>
  </si>
  <si>
    <t>Kumar, K.</t>
  </si>
  <si>
    <t>Intelligent Transportation and Planning: Breakthroughs in Research and Practice</t>
  </si>
  <si>
    <t>Managerial Approaches Toward Queuing Systems and Simulations</t>
  </si>
  <si>
    <t>Hernandez-Gonzalez, Salvador</t>
  </si>
  <si>
    <t>Handbook of Research on Biomimetics and Biomedical Robotics</t>
  </si>
  <si>
    <t>Habib, Maki</t>
  </si>
  <si>
    <t>Advanced Numerical Simulations in Mechanical Engineering</t>
  </si>
  <si>
    <t>Kumar, Ashwani</t>
  </si>
  <si>
    <t>Numerical and Analytical Solutions for Solving Nonlinear Equations in Heat Transfer</t>
  </si>
  <si>
    <t>Ganji, Davood Domiri</t>
  </si>
  <si>
    <t>Advanced Solid Catalysts for Renewable Energy Production</t>
  </si>
  <si>
    <t>González-Cortés, Sergio</t>
  </si>
  <si>
    <t>Chemical Compound Structures and the Higher Dimension of Molecules: Emerging Research and Opportunities</t>
  </si>
  <si>
    <t>Zhizhin, Gennadiy Vladimirovic</t>
  </si>
  <si>
    <t>Composites and Advanced Materials for Industrial Applications</t>
  </si>
  <si>
    <t>Emerging Synthesis Techniques for Luminescent Materials</t>
  </si>
  <si>
    <t>Tiwari, Ratnesh</t>
  </si>
  <si>
    <t>Modeling and Simulations for Metamaterials: Emerging Research and Opportunities</t>
  </si>
  <si>
    <t>Armghan, Ammar</t>
  </si>
  <si>
    <t>Production, Properties, and Applications of High Temperature Coatings</t>
  </si>
  <si>
    <t>Pakseresht, Amir Hossein</t>
  </si>
  <si>
    <t>Energetic Materials Research, Applications, and New Technologies</t>
  </si>
  <si>
    <t>Goncalves, Rene Francisco Bosc</t>
  </si>
  <si>
    <t>Emergent Research on Polymeric and Composite Materials</t>
  </si>
  <si>
    <t>Somashekar, R.</t>
  </si>
  <si>
    <t>3D Printing and Its Impact on the Production of Fully Functional Components: Emerging Research and Opportunities</t>
  </si>
  <si>
    <t>Emerging Trends in Open Source Geographic Information Systems</t>
  </si>
  <si>
    <t>Srivastava, Naveenchandra N.</t>
  </si>
  <si>
    <t>Intelligent Systems: Concepts, Methodologies, Tools, and Applications</t>
  </si>
  <si>
    <t>Advanced Synchronization Control and Bifurcation of Chaotic Fractional-Order Systems</t>
  </si>
  <si>
    <t>Boulkroune, Abdesselem</t>
  </si>
  <si>
    <t>Analysis and Applications of Lattice-Boltzmann Simulations</t>
  </si>
  <si>
    <t>Valero-Lara, Pedro</t>
  </si>
  <si>
    <t>Vehicular Cloud Computing for Traffic Management and Systems</t>
  </si>
  <si>
    <t>Grover, Jyoti</t>
  </si>
  <si>
    <t>Cyber-Physical Systems for Next Generation Networks</t>
  </si>
  <si>
    <t>Rodrigues, Joel J. P. C.</t>
  </si>
  <si>
    <t>Security and Privacy in Smart Sensor Networks</t>
  </si>
  <si>
    <t>Maleh, Yassine</t>
  </si>
  <si>
    <t>Handbook of Research on Cloud and Fog Computing Infrastructures for Data Science</t>
  </si>
  <si>
    <t>Innovative Methods, User-Friendly Tools, Coding, and Design Approaches in People-Oriented Programming</t>
  </si>
  <si>
    <t>Goschnick, Steve</t>
  </si>
  <si>
    <t>Handbook of Research on Pattern Engineering System Development for Big Data Analytics</t>
  </si>
  <si>
    <t>Tiwari, Vivek</t>
  </si>
  <si>
    <t>Handbook of Research on Contemporary Perspectives on Web-Based Systems</t>
  </si>
  <si>
    <t>Elçi, Atilla</t>
  </si>
  <si>
    <t>Advancements in Computer Vision and Image Processing</t>
  </si>
  <si>
    <t>Security and Privacy Management, Techniques, and Protocols</t>
  </si>
  <si>
    <t>Quantum-Inspired Intelligent Systems for Multimedia Data Analysis</t>
  </si>
  <si>
    <t>Incorporating Nature-Inspired Paradigms in Computational Applications</t>
  </si>
  <si>
    <t>Big Data Analytics for Satellite Image Processing and Remote Sensing</t>
  </si>
  <si>
    <t>Swarnalatha, P.</t>
  </si>
  <si>
    <t>Critical Developments and Applications of Swarm Intelligence</t>
  </si>
  <si>
    <t>Innovations in Software-Defined Networking and Network Functions Virtualization</t>
  </si>
  <si>
    <t>Dumka, Ankur</t>
  </si>
  <si>
    <t>Soft-Computing-Based Nonlinear Control Systems Design</t>
  </si>
  <si>
    <t>Singh, Uday Pratap</t>
  </si>
  <si>
    <t>Advances in System Dynamics and Control</t>
  </si>
  <si>
    <t>Innovations, Developments, and Applications of Semantic Web and Information Systems</t>
  </si>
  <si>
    <t>Security, Privacy, and Anonymization in Social Networks: Emerging Research and Opportunities</t>
  </si>
  <si>
    <t>Tripathy, B. K.</t>
  </si>
  <si>
    <t>Fuzzy Logic Dynamics and Machine Prediction for Failure Analysis</t>
  </si>
  <si>
    <t>Mushiri, Tawanda</t>
  </si>
  <si>
    <t>Handbook of Research on Big Data Storage and Visualization Techniques</t>
  </si>
  <si>
    <t>Creativity in Load-Balance Schemes for Multi/Many-Core Heterogeneous Graph Computing: Emerging Research and Opportunities</t>
  </si>
  <si>
    <t>Garcia-Robledo, Alberto</t>
  </si>
  <si>
    <t>Critical Research on Scalability and Security ISSUES in Virtual Cloud Environments</t>
  </si>
  <si>
    <t>Handbook of Research on Biomimicry in Information Retrieval and Knowledge Management</t>
  </si>
  <si>
    <t>Hamou, Reda Mohamed</t>
  </si>
  <si>
    <t>Free and Open Source Software in Modern Data Science and Business Intelligence: Emerging Research and Opportunities</t>
  </si>
  <si>
    <t>Srinivasa, K.G.</t>
  </si>
  <si>
    <t>Bridging Relational and NoSQL Databases</t>
  </si>
  <si>
    <t>Gaspar, Drazena</t>
  </si>
  <si>
    <t>Advancements in Applied Metaheuristic Computing</t>
  </si>
  <si>
    <t>Formation Methods, Models, and Hardware Implementation of Pseudorandom NUMBER Generators: Emerging Research and Opportunities</t>
  </si>
  <si>
    <t>Bilan, Stepan</t>
  </si>
  <si>
    <t>Aligning Perceptual and Conceptual Information for Cognitive Contextual System Development: Emerging Research and Opportunities</t>
  </si>
  <si>
    <t>Kuvich, Gary</t>
  </si>
  <si>
    <t>Androids, Cyborgs, and Robots in Contemporary Culture and Society</t>
  </si>
  <si>
    <t>Thompson, Steven John</t>
  </si>
  <si>
    <t>Applied Computational Intelligence and Soft Computing in Engineering</t>
  </si>
  <si>
    <t>Khalid, Saifullah</t>
  </si>
  <si>
    <t>http://services.igi-global.com/resolvedoi/resolve.aspx?doi=10.4018/978-1-5225-3129-6</t>
  </si>
  <si>
    <t>Enhancing Software Fault Prediction With Machine Learning: Emerging Research and Opportunities</t>
  </si>
  <si>
    <t>Rashid, Ekbal</t>
  </si>
  <si>
    <t>Developments and Trends in Intelligent Technologies and Smart Systems</t>
  </si>
  <si>
    <t>Information and Technology Literacy: Concepts, Methodologies, Tools, and Applications</t>
  </si>
  <si>
    <t>Algorithmic Strategies for Solving Complex Problems in Cryptography</t>
  </si>
  <si>
    <t>Balasubramanian, Kannan</t>
  </si>
  <si>
    <t>Design and Use of Virtualization Technology in Cloud Computing</t>
  </si>
  <si>
    <t>Das, Prashanta Kumar</t>
  </si>
  <si>
    <t>Exploring the Convergence of Big Data and the Internet of Things</t>
  </si>
  <si>
    <t>Prasad, A.V. Krishna</t>
  </si>
  <si>
    <t>Application Development and Design: Concepts, Methodologies, Tools, and Applications</t>
  </si>
  <si>
    <t>The Dark Web: Breakthroughs in Research and Practice</t>
  </si>
  <si>
    <t>Smart Technologies: Breakthroughs in Research and Practice</t>
  </si>
  <si>
    <t>Large-Scale Fuzzy Interconnected Control Systems Design and Analysis</t>
  </si>
  <si>
    <t>Zhong, Zhixiong</t>
  </si>
  <si>
    <t>Privacy and Security Policies in Big Data</t>
  </si>
  <si>
    <t>Tamane, Sharvari</t>
  </si>
  <si>
    <t>Ubiquitous Machine Learning and Its Applications</t>
  </si>
  <si>
    <t>Security Breaches and Threat Prevention in the Internet of Things</t>
  </si>
  <si>
    <t>Jeyanthi, N.</t>
  </si>
  <si>
    <t>Biometrics: Concepts, Methodologies, Tools, and Applications</t>
  </si>
  <si>
    <t>Modern Software Engineering Methodologies for Mobile and Cloud Environments</t>
  </si>
  <si>
    <t>Cruz, António Miguel Rosado da</t>
  </si>
  <si>
    <t>Recent Advances in Intelligent Technologies and Information Systems</t>
  </si>
  <si>
    <t>Intelligent Technologies and Techniques for Pervasive Computing</t>
  </si>
  <si>
    <t>Kolomvatsos, Kostas</t>
  </si>
  <si>
    <t>Trends in Developing Metaheuristics, Algorithms, and Optimization Approaches</t>
  </si>
  <si>
    <t>Handbook of Research on Methods and Tools for Assessing Cultural Landscape Adaptation</t>
  </si>
  <si>
    <t>Rosa, Isabel de Sousa</t>
  </si>
  <si>
    <t>New Approaches, Methods, and Tools in Urban E-Planning</t>
  </si>
  <si>
    <t>Designing Grid Cities for Optimized Urban Development and Planning</t>
  </si>
  <si>
    <t>Carlone, Guiseppe</t>
  </si>
  <si>
    <t>Design Solutions for nZEB Retrofit Buildings</t>
  </si>
  <si>
    <t>Rynska, Elzbieta</t>
  </si>
  <si>
    <t>Innovative Applications of Big Data in the Railway Industry</t>
  </si>
  <si>
    <t>Kohli, Shruti</t>
  </si>
  <si>
    <t>Dynamic Stability of Hydraulic Gates and Engineering for Flood Prevention</t>
  </si>
  <si>
    <t>Ishii, Noriaki</t>
  </si>
  <si>
    <t>Geospatial Technologies in Urban System Development: Emerging Research and Opportunities</t>
  </si>
  <si>
    <t>Mukherjee, Alok Bhushan</t>
  </si>
  <si>
    <t>Green Production Strategies for Sustainability</t>
  </si>
  <si>
    <t>Tsai, Sang-Binge</t>
  </si>
  <si>
    <t>Spatial Analysis Techniques Using MyGeoffice®</t>
  </si>
  <si>
    <t>Negreiros, João Garrott Marque</t>
  </si>
  <si>
    <t>Computational Techniques for Modeling Atmospheric Processes</t>
  </si>
  <si>
    <t>Prusov, Vitaliy</t>
  </si>
  <si>
    <t>Smart Cities as a Solution for Reducing Urban Waste and Pollution</t>
  </si>
  <si>
    <t>Food Science, Production, and Engineering in Contemporary Economies</t>
  </si>
  <si>
    <t>Handbook of Research on Social, Economic, and Environmental Sustainability in the Development of Smart Cities</t>
  </si>
  <si>
    <t>Vesco, Andrea</t>
  </si>
  <si>
    <t>Position-Sensitive Gaseous Photomultipliers: Research and Applications</t>
  </si>
  <si>
    <t>Electronic Nose Technologies and Advances in Machine Olfaction</t>
  </si>
  <si>
    <t>Albastaki, Yousif</t>
  </si>
  <si>
    <t>Handbook of Research on Power and Energy System Optimization</t>
  </si>
  <si>
    <t>Kumar, Pawan</t>
  </si>
  <si>
    <t>Design Parameters of Electrical Network Grounding Systems</t>
  </si>
  <si>
    <t>Gouda, Osama El-Sayed</t>
  </si>
  <si>
    <t>Smart Grid Test Bed Using OPNET and Power Line Communication</t>
  </si>
  <si>
    <t>Huh, Jun-Ho</t>
  </si>
  <si>
    <t>Intelligent Vehicles and Materials Transportation in the Manufacturing Sector: Emerging Research and Opportunities</t>
  </si>
  <si>
    <t>Bandyopadhyay, Susmita</t>
  </si>
  <si>
    <t>Lean Six Sigma Approaches in Manufacturing, Services, and Production</t>
  </si>
  <si>
    <t>Examining the Informing View of Organization: Applying Theoretical and Managerial Approaches</t>
  </si>
  <si>
    <t>Travica, Bob</t>
  </si>
  <si>
    <t>Business Development Opportunities and Market Entry Challenges in Latin America</t>
  </si>
  <si>
    <t>Managerial Strategies and Solutions for Business Success in Asia</t>
  </si>
  <si>
    <t>Metacognition and Successful Learning Strategies in Higher Education</t>
  </si>
  <si>
    <t>Railean, Elena</t>
  </si>
  <si>
    <t>Revealing Gender Inequalities and Perceptions in South Asian Countries through Discourse Analysis</t>
  </si>
  <si>
    <t>Mahtab, Nazmunnessa</t>
  </si>
  <si>
    <t>Managing Knowledge Resources and Records in Modern Organizations</t>
  </si>
  <si>
    <t>Jain, Priti</t>
  </si>
  <si>
    <t>Management Education for Global Leadership</t>
  </si>
  <si>
    <t>Analyzing the Relationship between Corporate Social Responsibility and Foreign Direct Investment</t>
  </si>
  <si>
    <t>Preparing Pre-Service Teachers for the Inclusive Classroom</t>
  </si>
  <si>
    <t>Dickenson, Patricia</t>
  </si>
  <si>
    <t>Managerial Strategies and Green Solutions for Project Sustainability</t>
  </si>
  <si>
    <t>Tam, Gilman C.K.</t>
  </si>
  <si>
    <t>序號</t>
  </si>
  <si>
    <t>連結</t>
  </si>
  <si>
    <t>B101004 醫學之生化及分子生物</t>
  </si>
  <si>
    <t>B101008 保健營養</t>
  </si>
  <si>
    <t>B101009 公共衛生及環境醫學</t>
  </si>
  <si>
    <t>B101010 醫學工程</t>
  </si>
  <si>
    <t>B101011 寄生蟲學、醫事技術及實驗診斷</t>
  </si>
  <si>
    <t>B101018 幹細胞/再生生物醫學</t>
  </si>
  <si>
    <t>B1020A8 血液科腫瘤科風濕免疫及感染</t>
  </si>
  <si>
    <t>B1020A9 神經內科</t>
  </si>
  <si>
    <t>B1020B2 精神科</t>
  </si>
  <si>
    <t>B1030A0 藥學</t>
  </si>
  <si>
    <t>E01 機械固力</t>
  </si>
  <si>
    <t>E02 化學工程</t>
  </si>
  <si>
    <t>E06 材料工程</t>
  </si>
  <si>
    <t>E08 資訊</t>
  </si>
  <si>
    <t>De Marsico, Maria</t>
  </si>
  <si>
    <t>Decentralized Computing Using Blockchain Technologies and Smart Contracts: Emerging Research and Opportunities</t>
  </si>
  <si>
    <t>Comparative Approaches to Using R and Python for Statistical Data Analysis</t>
  </si>
  <si>
    <t>E09 土木、水利、工程</t>
  </si>
  <si>
    <t>Tibaduiza Burgos, Diego Alexander</t>
  </si>
  <si>
    <t>E10 能源科技</t>
  </si>
  <si>
    <t>E11 環境工程</t>
  </si>
  <si>
    <t>E14 微電子工程</t>
  </si>
  <si>
    <t>Dondo Gazzano, Julio Daniel</t>
  </si>
  <si>
    <t>E60 生產自動化技術</t>
  </si>
  <si>
    <t>H11 教育學</t>
  </si>
  <si>
    <t>De Silva, Eugene</t>
  </si>
  <si>
    <t>Ramírez-Montoya, María-Soledad</t>
  </si>
  <si>
    <t>Advanced Concept Maps in STEM Education: Emerging Research and Opportunities</t>
  </si>
  <si>
    <t>H14 政治學</t>
  </si>
  <si>
    <t>H15 經濟學</t>
  </si>
  <si>
    <t>Ordóñez de Pablos, Patricia</t>
  </si>
  <si>
    <t>H17 社會學</t>
  </si>
  <si>
    <t>H19 傳播學</t>
  </si>
  <si>
    <t>Tjondronegoro, Dian</t>
  </si>
  <si>
    <t>Brown, Michael A</t>
  </si>
  <si>
    <t>Advanced Image Processing Techniques and Applications</t>
  </si>
  <si>
    <t>H40 財金及會計</t>
  </si>
  <si>
    <t>H41 管理一（人資、組織行為、策略管理、國企、醫管、科管）</t>
  </si>
  <si>
    <t>H42 管理二（行銷、生管、資管、交管、作業研究/數量方法）</t>
  </si>
  <si>
    <t>Encouraging Participative Consumerism Through Evolutionary Digital Marketing: Emerging Research and Opportunities</t>
  </si>
  <si>
    <t>HA3 圖書資訊學</t>
  </si>
  <si>
    <t>Sustainable Entrepreneurship and Investments in the Green Economy</t>
  </si>
  <si>
    <t>E71 航太科技</t>
  </si>
  <si>
    <t>總冊數</t>
  </si>
  <si>
    <t>附件</t>
  </si>
  <si>
    <t>無光碟附件</t>
  </si>
  <si>
    <t>http://services.igi-global.com/resolvedoi/resolve.aspx?doi=10.4018/978-1-5225-5225-3</t>
  </si>
  <si>
    <t>http://services.igi-global.com/resolvedoi/resolve.aspx?doi=10.4018/978-1-5225-3395-5</t>
  </si>
  <si>
    <t>http://services.igi-global.com/resolvedoi/resolve.aspx?doi=10.4018/978-1-5225-5652-7</t>
  </si>
  <si>
    <t>http://services.igi-global.com/resolvedoi/resolve.aspx?doi=10.4018/978-1-5225-5463-9</t>
  </si>
  <si>
    <t>http://services.igi-global.com/resolvedoi/resolve.aspx?doi=10.4018/978-1-5225-5243-7</t>
  </si>
  <si>
    <t>http://services.igi-global.com/resolvedoi/resolve.aspx?doi=10.4018/978-1-5225-4206-3</t>
  </si>
  <si>
    <t>http://services.igi-global.com/resolvedoi/resolve.aspx?doi=10.4018/978-1-5225-4111-0</t>
  </si>
  <si>
    <t>Handbook of Research on Media Literacy in Higher Education Environments</t>
  </si>
  <si>
    <t>http://services.igi-global.com/resolvedoi/resolve.aspx?doi=10.4018/978-1-5225-4059-5</t>
  </si>
  <si>
    <t>http://services.igi-global.com/resolvedoi/resolve.aspx?doi=10.4018/978-1-5225-5109-6</t>
  </si>
  <si>
    <t>http://services.igi-global.com/resolvedoi/resolve.aspx?doi=10.4018/978-1-5225-5466-0</t>
  </si>
  <si>
    <t>http://services.igi-global.com/resolvedoi/resolve.aspx?doi=10.4018/978-1-5225-4020-5</t>
  </si>
  <si>
    <t>http://services.igi-global.com/resolvedoi/resolve.aspx?doi=10.4018/978-1-5225-5631-2</t>
  </si>
  <si>
    <t>http://services.igi-global.com/resolvedoi/resolve.aspx?doi=10.4018/978-1-5225-4960-4</t>
  </si>
  <si>
    <t>http://services.igi-global.com/resolvedoi/resolve.aspx?doi=10.4018/978-1-5225-5472-1</t>
  </si>
  <si>
    <t>http://services.igi-global.com/resolvedoi/resolve.aspx?doi=10.4018/978-1-5225-5140-9</t>
  </si>
  <si>
    <t>http://services.igi-global.com/resolvedoi/resolve.aspx?doi=10.4018/978-1-5225-5279-6</t>
  </si>
  <si>
    <t>http://services.igi-global.com/resolvedoi/resolve.aspx?doi=10.4018/978-1-5225-5106-5</t>
  </si>
  <si>
    <t>http://services.igi-global.com/resolvedoi/resolve.aspx?doi=10.4018/978-1-5225-3053-4</t>
  </si>
  <si>
    <t>http://services.igi-global.com/resolvedoi/resolve.aspx?doi=10.4018/978-1-5225-3068-8</t>
  </si>
  <si>
    <t>http://services.igi-global.com/resolvedoi/resolve.aspx?doi=10.4018/978-1-5225-3832-5</t>
  </si>
  <si>
    <t>http://services.igi-global.com/resolvedoi/resolve.aspx?doi=10.4018/978-1-5225-2779-4</t>
  </si>
  <si>
    <t>http://services.igi-global.com/resolvedoi/resolve.aspx?doi=10.4018/978-1-5225-2682-7</t>
  </si>
  <si>
    <t>http://services.igi-global.com/resolvedoi/resolve.aspx?doi=10.4018/978-1-5225-2924-8</t>
  </si>
  <si>
    <t>http://services.igi-global.com/resolvedoi/resolve.aspx?doi=10.4018/978-1-5225-2933-0</t>
  </si>
  <si>
    <t>http://services.igi-global.com/resolvedoi/resolve.aspx?doi=10.4018/978-1-5225-2724-4</t>
  </si>
  <si>
    <t>http://services.igi-global.com/resolvedoi/resolve.aspx?doi=10.4018/978-1-5225-2981-1</t>
  </si>
  <si>
    <t>http://services.igi-global.com/resolvedoi/resolve.aspx?doi=10.4018/978-1-5225-2685-8</t>
  </si>
  <si>
    <t>http://services.igi-global.com/resolvedoi/resolve.aspx?doi=10.4018/978-1-5225-2613-1</t>
  </si>
  <si>
    <t>http://services.igi-global.com/resolvedoi/resolve.aspx?doi=10.4018/978-1-5225-2630-8</t>
  </si>
  <si>
    <t>http://services.igi-global.com/resolvedoi/resolve.aspx?doi=10.4018/978-1-5225-2182-2</t>
  </si>
  <si>
    <t>http://services.igi-global.com/resolvedoi/resolve.aspx?doi=10.4018/978-1-5225-1692-7</t>
  </si>
  <si>
    <t>http://services.igi-global.com/resolvedoi/resolve.aspx?doi=10.4018/978-1-5225-1650-7</t>
  </si>
  <si>
    <t>http://services.igi-global.com/resolvedoi/resolve.aspx?doi=10.4018/978-1-5225-0359-0</t>
  </si>
  <si>
    <t>http://services.igi-global.com/resolvedoi/resolve.aspx?doi=10.4018/978-1-4666-8847-6</t>
  </si>
  <si>
    <t>http://services.igi-global.com/resolvedoi/resolve.aspx?doi=10.4018/978-1-5225-3264-4</t>
  </si>
  <si>
    <t>Handbook of Research on Urban Governance and Management in the Developing World</t>
  </si>
  <si>
    <t>http://services.igi-global.com/resolvedoi/resolve.aspx?doi=10.4018/978-1-5225-4165-3</t>
  </si>
  <si>
    <t>http://services.igi-global.com/resolvedoi/resolve.aspx?doi=10.4018/978-1-5225-4026-7</t>
  </si>
  <si>
    <t>http://services.igi-global.com/resolvedoi/resolve.aspx?doi=10.4018/978-1-5225-4134-9</t>
  </si>
  <si>
    <t>http://services.igi-global.com/resolvedoi/resolve.aspx?doi=10.4018/978-1-5225-3767-0</t>
  </si>
  <si>
    <t>http://services.igi-global.com/resolvedoi/resolve.aspx?doi=10.4018/978-1-5225-4966-6</t>
  </si>
  <si>
    <t>http://services.igi-global.com/resolvedoi/resolve.aspx?doi=10.4018/978-1-5225-4981-9</t>
  </si>
  <si>
    <t>http://services.igi-global.com/resolvedoi/resolve.aspx?doi=10.4018/978-1-5225-4131-8</t>
  </si>
  <si>
    <t>http://services.igi-global.com/resolvedoi/resolve.aspx?doi=10.4018/978-1-5225-3856-1</t>
  </si>
  <si>
    <t>http://services.igi-global.com/resolvedoi/resolve.aspx?doi=10.4018/978-1-5225-2756-5</t>
  </si>
  <si>
    <t>http://services.igi-global.com/resolvedoi/resolve.aspx?doi=10.4018/978-1-5225-2673-5</t>
  </si>
  <si>
    <t>http://services.igi-global.com/resolvedoi/resolve.aspx?doi=10.4018/978-1-5225-2458-8</t>
  </si>
  <si>
    <t>http://services.igi-global.com/resolvedoi/resolve.aspx?doi=10.4018/978-1-5225-2364-2</t>
  </si>
  <si>
    <t>http://services.igi-global.com/resolvedoi/resolve.aspx?doi=10.4018/978-1-5225-0440-5</t>
  </si>
  <si>
    <t>http://services.igi-global.com/resolvedoi/resolve.aspx?doi=10.4018/978-1-4666-7308-3</t>
  </si>
  <si>
    <t>http://services.igi-global.com/resolvedoi/resolve.aspx?doi=10.4018/978-1-5225-4183-7</t>
  </si>
  <si>
    <t>Handbook of Research on Multicultural Perspectives on Gender and Aging</t>
  </si>
  <si>
    <t>http://services.igi-global.com/resolvedoi/resolve.aspx?doi=10.4018/978-1-5225-4772-3</t>
  </si>
  <si>
    <t>Endong, Floribert Patrick C.</t>
  </si>
  <si>
    <t>http://services.igi-global.com/resolvedoi/resolve.aspx?doi=10.4018/978-1-5225-2854-8</t>
  </si>
  <si>
    <t>http://services.igi-global.com/resolvedoi/resolve.aspx?doi=10.4018/978-1-5225-5320-5</t>
  </si>
  <si>
    <t>http://services.igi-global.com/resolvedoi/resolve.aspx?doi=10.4018/978-1-5225-4128-8</t>
  </si>
  <si>
    <t>http://services.igi-global.com/resolvedoi/resolve.aspx?doi=10.4018/978-1-5225-4944-4</t>
  </si>
  <si>
    <t>http://services.igi-global.com/resolvedoi/resolve.aspx?doi=10.4018/978-1-5225-3090-9</t>
  </si>
  <si>
    <t>http://services.igi-global.com/resolvedoi/resolve.aspx?doi=10.4018/978-1-5225-3477-8</t>
  </si>
  <si>
    <t>http://services.igi-global.com/resolvedoi/resolve.aspx?doi=10.4018/978-1-5225-2817-3</t>
  </si>
  <si>
    <t>http://services.igi-global.com/resolvedoi/resolve.aspx?doi=10.4018/978-1-5225-3917-9</t>
  </si>
  <si>
    <t>http://services.igi-global.com/resolvedoi/resolve.aspx?doi=10.4018/978-1-5225-2832-6</t>
  </si>
  <si>
    <t>http://services.igi-global.com/resolvedoi/resolve.aspx?doi=10.4018/978-1-5225-2863-0</t>
  </si>
  <si>
    <t>http://services.igi-global.com/resolvedoi/resolve.aspx?doi=10.4018/978-1-5225-2578-3</t>
  </si>
  <si>
    <t>http://services.igi-global.com/resolvedoi/resolve.aspx?doi=10.4018/978-1-5225-2616-2</t>
  </si>
  <si>
    <t>http://services.igi-global.com/resolvedoi/resolve.aspx?doi=10.4018/978-1-5225-2659-9</t>
  </si>
  <si>
    <t>http://services.igi-global.com/resolvedoi/resolve.aspx?doi=10.4018/978-1-5225-3001-5</t>
  </si>
  <si>
    <t>http://services.igi-global.com/resolvedoi/resolve.aspx?doi=10.4018/978-1-5225-5357-1</t>
  </si>
  <si>
    <t>http://services.igi-global.com/resolvedoi/resolve.aspx?doi=10.4018/978-1-5225-5354-0</t>
  </si>
  <si>
    <t>http://services.igi-global.com/resolvedoi/resolve.aspx?doi=10.4018/978-1-5225-5592-6</t>
  </si>
  <si>
    <t>http://services.igi-global.com/resolvedoi/resolve.aspx?doi=10.4018/978-1-5225-4047-2</t>
  </si>
  <si>
    <t>http://services.igi-global.com/resolvedoi/resolve.aspx?doi=10.4018/978-1-5225-5326-7</t>
  </si>
  <si>
    <t>http://services.igi-global.com/resolvedoi/resolve.aspx?doi=10.4018/978-1-5225-5270-3</t>
  </si>
  <si>
    <t>http://services.igi-global.com/resolvedoi/resolve.aspx?doi=10.4018/978-1-5225-5023-5</t>
  </si>
  <si>
    <t>http://services.igi-global.com/resolvedoi/resolve.aspx?doi=10.4018/978-1-5225-3784-7</t>
  </si>
  <si>
    <t>http://services.igi-global.com/resolvedoi/resolve.aspx?doi=10.4018/978-1-5225-5285-7</t>
  </si>
  <si>
    <t>http://services.igi-global.com/resolvedoi/resolve.aspx?doi=10.4018/978-1-5225-4775-4</t>
  </si>
  <si>
    <t>http://services.igi-global.com/resolvedoi/resolve.aspx?doi=10.4018/978-1-5225-5622-0</t>
  </si>
  <si>
    <t>http://services.igi-global.com/resolvedoi/resolve.aspx?doi=10.4018/978-1-5225-3781-6</t>
  </si>
  <si>
    <t>http://services.igi-global.com/resolvedoi/resolve.aspx?doi=10.4018/978-1-5225-3179-1</t>
  </si>
  <si>
    <t>http://services.igi-global.com/resolvedoi/resolve.aspx?doi=10.4018/978-1-5225-3802-8</t>
  </si>
  <si>
    <t>http://services.igi-global.com/resolvedoi/resolve.aspx?doi=10.4018/978-1-5225-3929-2</t>
  </si>
  <si>
    <t>http://services.igi-global.com/resolvedoi/resolve.aspx?doi=10.4018/978-1-5225-2753-4</t>
  </si>
  <si>
    <t>http://services.igi-global.com/resolvedoi/resolve.aspx?doi=10.4018/978-1-5225-3373-3</t>
  </si>
  <si>
    <t>http://services.igi-global.com/resolvedoi/resolve.aspx?doi=10.4018/978-1-5225-3445-7</t>
  </si>
  <si>
    <t>http://services.igi-global.com/resolvedoi/resolve.aspx?doi=10.4018/978-1-5225-2759-6</t>
  </si>
  <si>
    <t>http://services.igi-global.com/resolvedoi/resolve.aspx?doi=10.4018/978-1-5225-2814-2</t>
  </si>
  <si>
    <t>http://services.igi-global.com/resolvedoi/resolve.aspx?doi=10.4018/978-1-5225-2848-7</t>
  </si>
  <si>
    <t>http://services.igi-global.com/resolvedoi/resolve.aspx?doi=10.4018/978-1-5225-2799-2</t>
  </si>
  <si>
    <t>http://services.igi-global.com/resolvedoi/resolve.aspx?doi=10.4018/978-1-5225-2437-3</t>
  </si>
  <si>
    <t>http://services.igi-global.com/resolvedoi/resolve.aspx?doi=10.4018/978-1-5225-0773-4</t>
  </si>
  <si>
    <t>http://services.igi-global.com/resolvedoi/resolve.aspx?doi=10.4018/978-1-5225-0616-4</t>
  </si>
  <si>
    <t>http://services.igi-global.com/resolvedoi/resolve.aspx?doi=10.4018/978-1-4666-9613-6</t>
  </si>
  <si>
    <t>http://services.igi-global.com/resolvedoi/resolve.aspx?doi=10.4018/978-1-4666-9855-0</t>
  </si>
  <si>
    <t>http://services.igi-global.com/resolvedoi/resolve.aspx?doi=10.4018/978-1-4666-8850-6</t>
  </si>
  <si>
    <t>http://services.igi-global.com/resolvedoi/resolve.aspx?doi=10.4018/978-1-5225-5267-3</t>
  </si>
  <si>
    <t>http://services.igi-global.com/resolvedoi/resolve.aspx?doi=10.4018/978-1-5225-3622-2</t>
  </si>
  <si>
    <t>http://services.igi-global.com/resolvedoi/resolve.aspx?doi=10.4018/978-1-5225-3259-0</t>
  </si>
  <si>
    <t>http://services.igi-global.com/resolvedoi/resolve.aspx?doi=10.4018/978-1-5225-2700-8</t>
  </si>
  <si>
    <t>http://services.igi-global.com/resolvedoi/resolve.aspx?doi=10.4018/978-1-5225-1900-3</t>
  </si>
  <si>
    <t>http://services.igi-global.com/resolvedoi/resolve.aspx?doi=10.4018/978-1-4666-5047-3</t>
  </si>
  <si>
    <t>http://services.igi-global.com/resolvedoi/resolve.aspx?doi=10.4018/978-1-5225-5721-0</t>
  </si>
  <si>
    <t>http://services.igi-global.com/resolvedoi/resolve.aspx?doi=10.4018/978-1-5225-5619-0</t>
  </si>
  <si>
    <t>http://services.igi-global.com/resolvedoi/resolve.aspx?doi=10.4018/978-1-5225-5360-1</t>
  </si>
  <si>
    <t>http://services.igi-global.com/resolvedoi/resolve.aspx?doi=10.4018/978-1-5225-5637-4</t>
  </si>
  <si>
    <t>http://services.igi-global.com/resolvedoi/resolve.aspx?doi=10.4018/978-1-5225-3448-8</t>
  </si>
  <si>
    <t>http://services.igi-global.com/resolvedoi/resolve.aspx?doi=10.4018/978-1-5225-5014-3</t>
  </si>
  <si>
    <t>http://services.igi-global.com/resolvedoi/resolve.aspx?doi=10.4018/978-1-5225-3012-1</t>
  </si>
  <si>
    <t>http://services.igi-global.com/resolvedoi/resolve.aspx?doi=10.4018/978-1-5225-3628-4</t>
  </si>
  <si>
    <t>http://services.igi-global.com/resolvedoi/resolve.aspx?doi=10.4018/978-1-5225-3787-8</t>
  </si>
  <si>
    <t>http://services.igi-global.com/resolvedoi/resolve.aspx?doi=10.4018/978-1-5225-3551-5</t>
  </si>
  <si>
    <t>http://services.igi-global.com/resolvedoi/resolve.aspx?doi=10.4018/978-1-5225-5390-8</t>
  </si>
  <si>
    <t>http://services.igi-global.com/resolvedoi/resolve.aspx?doi=10.4018/978-1-5225-3646-8</t>
  </si>
  <si>
    <t>http://services.igi-global.com/resolvedoi/resolve.aspx?doi=10.4018/978-1-5225-4947-5</t>
  </si>
  <si>
    <t>http://services.igi-global.com/resolvedoi/resolve.aspx?doi=10.4018/978-1-5225-4978-9</t>
  </si>
  <si>
    <t>http://services.igi-global.com/resolvedoi/resolve.aspx?doi=10.4018/978-1-5225-3773-1</t>
  </si>
  <si>
    <t>http://services.igi-global.com/resolvedoi/resolve.aspx?doi=10.4018/978-1-5225-4056-4</t>
  </si>
  <si>
    <t>http://services.igi-global.com/resolvedoi/resolve.aspx?doi=10.4018/978-1-5225-3987-2</t>
  </si>
  <si>
    <t>http://services.igi-global.com/resolvedoi/resolve.aspx?doi=10.4018/978-1-5225-3652-9</t>
  </si>
  <si>
    <t>http://services.igi-global.com/resolvedoi/resolve.aspx?doi=10.4018/978-1-5225-3710-6</t>
  </si>
  <si>
    <t>http://services.igi-global.com/resolvedoi/resolve.aspx?doi=10.4018/978-1-5225-3932-2</t>
  </si>
  <si>
    <t>http://services.igi-global.com/resolvedoi/resolve.aspx?doi=10.4018/978-1-5225-3625-3</t>
  </si>
  <si>
    <t>http://services.igi-global.com/resolvedoi/resolve.aspx?doi=10.4018/978-1-5225-3392-4</t>
  </si>
  <si>
    <t>http://services.igi-global.com/resolvedoi/resolve.aspx?doi=10.4018/978-1-5225-3009-1</t>
  </si>
  <si>
    <t>http://services.igi-global.com/resolvedoi/resolve.aspx?doi=10.4018/978-1-5225-4952-9</t>
  </si>
  <si>
    <t>http://services.igi-global.com/resolvedoi/resolve.aspx?doi=10.4018/978-1-5225-3432-7</t>
  </si>
  <si>
    <t>http://services.igi-global.com/resolvedoi/resolve.aspx?doi=10.4018/978-1-5225-2688-9</t>
  </si>
  <si>
    <t>http://services.igi-global.com/resolvedoi/resolve.aspx?doi=10.4018/978-1-5225-2727-5</t>
  </si>
  <si>
    <t>http://services.igi-global.com/resolvedoi/resolve.aspx?doi=10.4018/978-1-5225-2835-7</t>
  </si>
  <si>
    <t>http://services.igi-global.com/resolvedoi/resolve.aspx?doi=10.4018/978-1-5225-2703-9</t>
  </si>
  <si>
    <t>http://services.igi-global.com/resolvedoi/resolve.aspx?doi=10.4018/978-1-5225-2716-9</t>
  </si>
  <si>
    <t>http://services.igi-global.com/resolvedoi/resolve.aspx?doi=10.4018/978-1-5225-2897-5</t>
  </si>
  <si>
    <t>http://services.igi-global.com/resolvedoi/resolve.aspx?doi=10.4018/978-1-5225-2604-9</t>
  </si>
  <si>
    <t>http://services.igi-global.com/resolvedoi/resolve.aspx?doi=10.4018/978-1-5225-2662-9</t>
  </si>
  <si>
    <t>http://services.igi-global.com/resolvedoi/resolve.aspx?doi=10.4018/978-1-5225-2627-8</t>
  </si>
  <si>
    <t>http://services.igi-global.com/resolvedoi/resolve.aspx?doi=10.4018/978-1-5225-2104-4</t>
  </si>
  <si>
    <t>http://services.igi-global.com/resolvedoi/resolve.aspx?doi=10.4018/978-1-5225-1028-4</t>
  </si>
  <si>
    <t>http://services.igi-global.com/resolvedoi/resolve.aspx?doi=10.4018/978-1-5225-0635-5</t>
  </si>
  <si>
    <t>Technological Developments in Industry 4.0 for Business Applications</t>
  </si>
  <si>
    <t>Ferreira, Luis</t>
  </si>
  <si>
    <t>http://services.igi-global.com/resolvedoi/resolve.aspx?doi=10.4018/978-1-5225-4936-9</t>
  </si>
  <si>
    <t>http://services.igi-global.com/resolvedoi/resolve.aspx?doi=10.4018/978-1-5225-4035-9</t>
  </si>
  <si>
    <t>http://services.igi-global.com/resolvedoi/resolve.aspx?doi=10.4018/978-1-5225-5323-6</t>
  </si>
  <si>
    <t>http://services.igi-global.com/resolvedoi/resolve.aspx?doi=10.4018/978-1-5225-5112-6</t>
  </si>
  <si>
    <t>http://services.igi-global.com/resolvedoi/resolve.aspx?doi=10.4018/978-1-5225-3468-6</t>
  </si>
  <si>
    <t>http://services.igi-global.com/resolvedoi/resolve.aspx?doi=10.4018/978-1-5225-5097-6</t>
  </si>
  <si>
    <t>http://services.igi-global.com/resolvedoi/resolve.aspx?doi=10.4018/978-1-5225-5475-2</t>
  </si>
  <si>
    <t>http://services.igi-global.com/resolvedoi/resolve.aspx?doi=10.4018/978-1-5225-4062-5</t>
  </si>
  <si>
    <t>http://services.igi-global.com/resolvedoi/resolve.aspx?doi=10.4018/978-1-5225-4984-0</t>
  </si>
  <si>
    <t>http://services.igi-global.com/resolvedoi/resolve.aspx?doi=10.4018/978-1-5225-4828-7</t>
  </si>
  <si>
    <t>http://services.igi-global.com/resolvedoi/resolve.aspx?doi=10.4018/978-1-5225-5143-0</t>
  </si>
  <si>
    <t>http://services.igi-global.com/resolvedoi/resolve.aspx?doi=10.4018/978-1-5225-4834-8</t>
  </si>
  <si>
    <t>http://services.igi-global.com/resolvedoi/resolve.aspx?doi=10.4018/978-1-5225-3056-5</t>
  </si>
  <si>
    <t>http://services.igi-global.com/resolvedoi/resolve.aspx?doi=10.4018/978-1-5225-3150-0</t>
  </si>
  <si>
    <t>http://services.igi-global.com/resolvedoi/resolve.aspx?doi=10.4018/978-1-5225-3704-5</t>
  </si>
  <si>
    <t>http://services.igi-global.com/resolvedoi/resolve.aspx?doi=10.4018/978-1-5225-2912-5</t>
  </si>
  <si>
    <t>http://services.igi-global.com/resolvedoi/resolve.aspx?doi=10.4018/978-1-5225-3909-4</t>
  </si>
  <si>
    <t>http://services.igi-global.com/resolvedoi/resolve.aspx?doi=10.4018/978-1-5225-2697-1</t>
  </si>
  <si>
    <t>http://services.igi-global.com/resolvedoi/resolve.aspx?doi=10.4018/978-1-5225-2826-5</t>
  </si>
  <si>
    <t>http://services.igi-global.com/resolvedoi/resolve.aspx?doi=10.4018/978-1-5225-3220-0</t>
  </si>
  <si>
    <t>http://services.igi-global.com/resolvedoi/resolve.aspx?doi=10.4018/978-1-5225-2921-7</t>
  </si>
  <si>
    <t>http://services.igi-global.com/resolvedoi/resolve.aspx?doi=10.4018/978-1-5225-3038-1</t>
  </si>
  <si>
    <t>http://services.igi-global.com/resolvedoi/resolve.aspx?doi=10.4018/978-1-5225-2417-5</t>
  </si>
  <si>
    <t>http://services.igi-global.com/resolvedoi/resolve.aspx?doi=10.4018/978-1-5225-2509-7</t>
  </si>
  <si>
    <t>http://services.igi-global.com/resolvedoi/resolve.aspx?doi=10.4018/978-1-5225-2440-3</t>
  </si>
  <si>
    <t>http://services.igi-global.com/resolvedoi/resolve.aspx?doi=10.4018/978-1-5225-2268-3</t>
  </si>
  <si>
    <t>http://services.igi-global.com/resolvedoi/resolve.aspx?doi=10.4018/978-1-5225-2331-4</t>
  </si>
  <si>
    <t>http://services.igi-global.com/resolvedoi/resolve.aspx?doi=10.4018/978-1-5225-2036-8</t>
  </si>
  <si>
    <t>http://services.igi-global.com/resolvedoi/resolve.aspx?doi=10.4018/978-1-5225-1865-5</t>
  </si>
  <si>
    <t>http://services.igi-global.com/resolvedoi/resolve.aspx?doi=10.4018/978-1-5225-1686-6</t>
  </si>
  <si>
    <t>http://services.igi-global.com/resolvedoi/resolve.aspx?doi=10.4018/978-1-5225-0997-4</t>
  </si>
  <si>
    <t>http://services.igi-global.com/resolvedoi/resolve.aspx?doi=10.4018/978-1-5225-0654-6</t>
  </si>
  <si>
    <t>http://services.igi-global.com/resolvedoi/resolve.aspx?doi=10.4018/978-1-4666-9737-9</t>
  </si>
  <si>
    <t>HA2 體育學</t>
  </si>
  <si>
    <t>http://services.igi-global.com/resolvedoi/resolve.aspx?doi=10.4018/978-1-5225-5088-4</t>
  </si>
  <si>
    <t>http://services.igi-global.com/resolvedoi/resolve.aspx?doi=10.4018/978-1-5225-2796-1</t>
  </si>
  <si>
    <t>http://services.igi-global.com/resolvedoi/resolve.aspx?doi=10.4018/978-1-5225-2694-0</t>
  </si>
  <si>
    <t>http://services.igi-global.com/resolvedoi/resolve.aspx?doi=10.4018/978-1-5225-2927-9</t>
  </si>
  <si>
    <t>http://services.igi-global.com/resolvedoi/resolve.aspx?doi=10.4018/978-1-5225-3920-9</t>
  </si>
  <si>
    <t>http://services.igi-global.com/resolvedoi/resolve.aspx?doi=10.4018/978-1-5225-2930-9</t>
  </si>
  <si>
    <t>http://services.igi-global.com/resolvedoi/resolve.aspx?doi=10.4018/978-1-5225-2750-3</t>
  </si>
  <si>
    <t>http://services.igi-global.com/resolvedoi/resolve.aspx?doi=10.4018/978-1-5225-0579-2</t>
  </si>
  <si>
    <t>http://services.igi-global.com/resolvedoi/resolve.aspx?doi=10.4018/978-1-5225-0576-1</t>
  </si>
  <si>
    <t>http://services.igi-global.com/resolvedoi/resolve.aspx?doi=10.4018/978-1-5225-5427-1</t>
  </si>
  <si>
    <t>http://services.igi-global.com/resolvedoi/resolve.aspx?doi=10.4018/978-1-5225-5655-8</t>
  </si>
  <si>
    <t>http://services.igi-global.com/resolvedoi/resolve.aspx?doi=10.4018/978-1-5225-4191-2</t>
  </si>
  <si>
    <t>http://services.igi-global.com/resolvedoi/resolve.aspx?doi=10.4018/978-1-5225-5146-1</t>
  </si>
  <si>
    <t>http://services.igi-global.com/resolvedoi/resolve.aspx?doi=10.4018/978-1-5225-2802-9</t>
  </si>
  <si>
    <t>http://services.igi-global.com/resolvedoi/resolve.aspx?doi=10.4018/978-1-5225-5164-5</t>
  </si>
  <si>
    <t>http://services.igi-global.com/resolvedoi/resolve.aspx?doi=10.4018/978-1-5225-2676-6</t>
  </si>
  <si>
    <t>http://services.igi-global.com/resolvedoi/resolve.aspx?doi=10.4018/978-1-5225-2691-9</t>
  </si>
  <si>
    <t>http://services.igi-global.com/resolvedoi/resolve.aspx?doi=10.4018/978-1-5225-3015-2</t>
  </si>
  <si>
    <t>http://services.igi-global.com/resolvedoi/resolve.aspx?doi=10.4018/978-1-5225-2805-0</t>
  </si>
  <si>
    <t>http://services.igi-global.com/resolvedoi/resolve.aspx?doi=10.4018/978-1-5225-2594-3</t>
  </si>
  <si>
    <t>http://services.igi-global.com/resolvedoi/resolve.aspx?doi=10.4018/978-1-5225-2512-7</t>
  </si>
  <si>
    <t>http://services.igi-global.com/resolvedoi/resolve.aspx?doi=10.4018/978-1-5225-1735-1</t>
  </si>
  <si>
    <t>http://services.igi-global.com/resolvedoi/resolve.aspx?doi=10.4018/978-1-4666-9840-6</t>
  </si>
  <si>
    <t>http://services.igi-global.com/resolvedoi/resolve.aspx?doi=10.4018/978-1-5225-4074-8</t>
  </si>
  <si>
    <t>http://services.igi-global.com/resolvedoi/resolve.aspx?doi=10.4018/978-1-5225-5237-6</t>
  </si>
  <si>
    <t>http://services.igi-global.com/resolvedoi/resolve.aspx?doi=10.4018/978-1-5225-3203-3</t>
  </si>
  <si>
    <t>http://services.igi-global.com/resolvedoi/resolve.aspx?doi=10.4018/978-1-5225-5528-5</t>
  </si>
  <si>
    <t>http://services.igi-global.com/resolvedoi/resolve.aspx?doi=10.4018/978-1-5225-3716-8</t>
  </si>
  <si>
    <t>http://services.igi-global.com/resolvedoi/resolve.aspx?doi=10.4018/978-1-5225-3946-9</t>
  </si>
  <si>
    <t>http://services.igi-global.com/resolvedoi/resolve.aspx?doi=10.4018/978-1-5225-5207-9</t>
  </si>
  <si>
    <t>http://services.igi-global.com/resolvedoi/resolve.aspx?doi=10.4018/978-1-5225-5222-2</t>
  </si>
  <si>
    <t>http://services.igi-global.com/resolvedoi/resolve.aspx?doi=10.4018/978-1-5225-2970-5</t>
  </si>
  <si>
    <t>http://services.igi-global.com/resolvedoi/resolve.aspx?doi=10.4018/978-1-5225-2788-6</t>
  </si>
  <si>
    <t>http://services.igi-global.com/resolvedoi/resolve.aspx?doi=10.4018/978-1-5225-2633-9</t>
  </si>
  <si>
    <t>http://services.igi-global.com/resolvedoi/resolve.aspx?doi=10.4018/978-1-5225-1820-4</t>
  </si>
  <si>
    <t>http://services.igi-global.com/resolvedoi/resolve.aspx?doi=10.4018/978-1-5225-5580-3</t>
  </si>
  <si>
    <t>http://services.igi-global.com/resolvedoi/resolve.aspx?doi=10.4018/978-1-5225-4769-3</t>
  </si>
  <si>
    <t>http://services.igi-global.com/resolvedoi/resolve.aspx?doi=10.4018/978-1-5225-2958-3</t>
  </si>
  <si>
    <t>http://services.igi-global.com/resolvedoi/resolve.aspx?doi=10.4018/978-1-5225-2829-6</t>
  </si>
  <si>
    <t>http://services.igi-global.com/resolvedoi/resolve.aspx?doi=10.4018/978-1-5225-2851-7</t>
  </si>
  <si>
    <t>http://services.igi-global.com/resolvedoi/resolve.aspx?doi=10.4018/978-1-5225-2607-0</t>
  </si>
  <si>
    <t>B1020A1 心胸內科</t>
  </si>
  <si>
    <t>http://services.igi-global.com/resolvedoi/resolve.aspx?doi=10.4018/978-1-5225-2092-4</t>
  </si>
  <si>
    <t>http://services.igi-global.com/resolvedoi/resolve.aspx?doi=10.4018/978-1-5225-5478-3</t>
  </si>
  <si>
    <t>B1020D5 眼科</t>
  </si>
  <si>
    <t>http://services.igi-global.com/resolvedoi/resolve.aspx?doi=10.4018/978-1-5225-5195-9</t>
  </si>
  <si>
    <t>B3010E0 食品及農化</t>
  </si>
  <si>
    <t>http://services.igi-global.com/resolvedoi/resolve.aspx?doi=10.4018/978-1-5225-5363-2</t>
  </si>
  <si>
    <t>SSS05 醫學教育</t>
  </si>
  <si>
    <t>http://services.igi-global.com/resolvedoi/resolve.aspx?doi=10.4018/978-1-5225-5490-5</t>
  </si>
  <si>
    <t>http://services.igi-global.com/resolvedoi/resolve.aspx?doi=10.4018/978-1-5225-5045-7</t>
  </si>
  <si>
    <t>http://services.igi-global.com/resolvedoi/resolve.aspx?doi=10.4018/978-1-5225-3401-3</t>
  </si>
  <si>
    <t>http://services.igi-global.com/resolvedoi/resolve.aspx?doi=10.4018/978-1-5225-5210-9</t>
  </si>
  <si>
    <t>http://services.igi-global.com/resolvedoi/resolve.aspx?doi=10.4018/978-1-5225-5264-2</t>
  </si>
  <si>
    <t>http://services.igi-global.com/resolvedoi/resolve.aspx?doi=10.4018/978-1-5225-2993-4</t>
  </si>
  <si>
    <t>http://services.igi-global.com/resolvedoi/resolve.aspx?doi=10.4018/978-1-5225-3722-9</t>
  </si>
  <si>
    <t>http://services.igi-global.com/resolvedoi/resolve.aspx?doi=10.4018/978-1-5225-2713-8</t>
  </si>
  <si>
    <t>http://services.igi-global.com/resolvedoi/resolve.aspx?doi=10.4018/978-1-5225-3903-2</t>
  </si>
  <si>
    <t>http://services.igi-global.com/resolvedoi/resolve.aspx?doi=10.4018/978-1-5225-4108-0</t>
  </si>
  <si>
    <t>http://services.igi-global.com/resolvedoi/resolve.aspx?doi=10.4018/978-1-5225-5216-1</t>
  </si>
  <si>
    <t>http://services.igi-global.com/resolvedoi/resolve.aspx?doi=10.4018/978-1-5225-5170-6</t>
  </si>
  <si>
    <t>http://services.igi-global.com/resolvedoi/resolve.aspx?doi=10.4018/978-1-5225-4180-6</t>
  </si>
  <si>
    <t>http://services.igi-global.com/resolvedoi/resolve.aspx?doi=10.4018/978-1-5225-4194-3</t>
  </si>
  <si>
    <t>http://services.igi-global.com/resolvedoi/resolve.aspx?doi=10.4018/978-1-5225-2903-3</t>
  </si>
  <si>
    <t>http://services.igi-global.com/resolvedoi/resolve.aspx?doi=10.4018/978-1-5225-3023-7</t>
  </si>
  <si>
    <t>http://services.igi-global.com/resolvedoi/resolve.aspx?doi=10.4018/978-1-5225-2289-8</t>
  </si>
  <si>
    <t>http://services.igi-global.com/resolvedoi/resolve.aspx?doi=10.4018/978-1-5225-5039-6</t>
  </si>
  <si>
    <t>http://services.igi-global.com/resolvedoi/resolve.aspx?doi=10.4018/978-1-5225-5643-5</t>
  </si>
  <si>
    <t>http://services.igi-global.com/resolvedoi/resolve.aspx?doi=10.4018/978-1-5225-5418-9</t>
  </si>
  <si>
    <t>http://services.igi-global.com/resolvedoi/resolve.aspx?doi=10.4018/978-1-5225-4760-0</t>
  </si>
  <si>
    <t>http://services.igi-global.com/resolvedoi/resolve.aspx?doi=10.4018/978-1-5225-3981-0</t>
  </si>
  <si>
    <t>http://services.igi-global.com/resolvedoi/resolve.aspx?doi=10.4018/978-1-5225-5510-0</t>
  </si>
  <si>
    <t>http://services.igi-global.com/resolvedoi/resolve.aspx?doi=10.4018/978-1-5225-5736-4</t>
  </si>
  <si>
    <t>http://services.igi-global.com/resolvedoi/resolve.aspx?doi=10.4018/978-1-5225-5972-6</t>
  </si>
  <si>
    <t>http://services.igi-global.com/resolvedoi/resolve.aspx?doi=10.4018/978-1-5225-5969-6</t>
  </si>
  <si>
    <t>http://services.igi-global.com/resolvedoi/resolve.aspx?doi=10.4018/978-1-5225-3870-7</t>
  </si>
  <si>
    <t>http://services.igi-global.com/resolvedoi/resolve.aspx?doi=10.4018/978-1-5225-5384-7</t>
  </si>
  <si>
    <t>http://services.igi-global.com/resolvedoi/resolve.aspx?doi=10.4018/978-1-5225-5628-2</t>
  </si>
  <si>
    <t>http://services.igi-global.com/resolvedoi/resolve.aspx?doi=10.4018/978-1-5225-5583-4</t>
  </si>
  <si>
    <t>http://services.igi-global.com/resolvedoi/resolve.aspx?doi=10.4018/978-1-5225-5219-2</t>
  </si>
  <si>
    <t>http://services.igi-global.com/resolvedoi/resolve.aspx?doi=10.4018/978-1-5225-5020-4</t>
  </si>
  <si>
    <t>http://services.igi-global.com/resolvedoi/resolve.aspx?doi=10.4018/978-1-5225-3643-7</t>
  </si>
  <si>
    <t>http://services.igi-global.com/resolvedoi/resolve.aspx?doi=10.4018/978-1-5225-5134-8</t>
  </si>
  <si>
    <t>http://services.igi-global.com/resolvedoi/resolve.aspx?doi=10.4018/978-1-5225-3640-6</t>
  </si>
  <si>
    <t>http://services.igi-global.com/resolvedoi/resolve.aspx?doi=10.4018/978-1-5225-3531-7</t>
  </si>
  <si>
    <t>http://services.igi-global.com/resolvedoi/resolve.aspx?doi=10.4018/978-1-5225-4077-9</t>
  </si>
  <si>
    <t>http://services.igi-global.com/resolvedoi/resolve.aspx?doi=10.4018/978-1-5225-5042-6</t>
  </si>
  <si>
    <t>http://services.igi-global.com/resolvedoi/resolve.aspx?doi=10.4018/978-1-5225-5158-4</t>
  </si>
  <si>
    <t>http://services.igi-global.com/resolvedoi/resolve.aspx?doi=10.4018/978-1-5225-3244-6</t>
  </si>
  <si>
    <t>http://services.igi-global.com/resolvedoi/resolve.aspx?doi=10.4018/978-1-5225-3142-5</t>
  </si>
  <si>
    <t>http://services.igi-global.com/resolvedoi/resolve.aspx?doi=10.4018/978-1-5225-3799-1</t>
  </si>
  <si>
    <t>http://services.igi-global.com/resolvedoi/resolve.aspx?doi=10.4018/978-1-5225-3029-9</t>
  </si>
  <si>
    <t>http://services.igi-global.com/resolvedoi/resolve.aspx?doi=10.4018/978-1-5225-3004-6</t>
  </si>
  <si>
    <t>http://services.igi-global.com/resolvedoi/resolve.aspx?doi=10.4018/978-1-5225-3707-6</t>
  </si>
  <si>
    <t>http://services.igi-global.com/resolvedoi/resolve.aspx?doi=10.4018/978-1-5225-3385-6</t>
  </si>
  <si>
    <t>http://services.igi-global.com/resolvedoi/resolve.aspx?doi=10.4018/978-1-5225-4151-6</t>
  </si>
  <si>
    <t>http://services.igi-global.com/resolvedoi/resolve.aspx?doi=10.4018/978-1-5225-2773-2</t>
  </si>
  <si>
    <t>http://services.igi-global.com/resolvedoi/resolve.aspx?doi=10.4018/978-1-5225-2431-1</t>
  </si>
  <si>
    <t>http://services.igi-global.com/resolvedoi/resolve.aspx?doi=10.4018/978-1-5225-2973-6</t>
  </si>
  <si>
    <t>http://services.igi-global.com/resolvedoi/resolve.aspx?doi=10.4018/978-1-5225-3185-2</t>
  </si>
  <si>
    <t>http://services.igi-global.com/resolvedoi/resolve.aspx?doi=10.4018/978-1-5225-3686-4</t>
  </si>
  <si>
    <t>http://services.igi-global.com/resolvedoi/resolve.aspx?doi=10.4018/978-1-5225-3417-4</t>
  </si>
  <si>
    <t>http://services.igi-global.com/resolvedoi/resolve.aspx?doi=10.4018/978-1-5225-2915-6</t>
  </si>
  <si>
    <t>http://services.igi-global.com/resolvedoi/resolve.aspx?doi=10.4018/978-1-5225-2785-5</t>
  </si>
  <si>
    <t>http://services.igi-global.com/resolvedoi/resolve.aspx?doi=10.4018/978-1-5225-2947-7</t>
  </si>
  <si>
    <t>http://services.igi-global.com/resolvedoi/resolve.aspx?doi=10.4018/978-1-5225-3422-8</t>
  </si>
  <si>
    <t>http://services.igi-global.com/resolvedoi/resolve.aspx?doi=10.4018/978-1-5225-3163-0</t>
  </si>
  <si>
    <t>http://services.igi-global.com/resolvedoi/resolve.aspx?doi=10.4018/978-1-5225-2589-9</t>
  </si>
  <si>
    <t>http://services.igi-global.com/resolvedoi/resolve.aspx?doi=10.4018/978-1-5225-2385-7</t>
  </si>
  <si>
    <t>http://services.igi-global.com/resolvedoi/resolve.aspx?doi=10.4018/978-1-5225-2486-1</t>
  </si>
  <si>
    <t>http://services.igi-global.com/resolvedoi/resolve.aspx?doi=10.4018/978-1-5225-2545-5</t>
  </si>
  <si>
    <t>http://services.igi-global.com/resolvedoi/resolve.aspx?doi=10.4018/978-1-5225-2296-6</t>
  </si>
  <si>
    <t>http://services.igi-global.com/resolvedoi/resolve.aspx?doi=10.4018/978-1-5225-0983-7</t>
  </si>
  <si>
    <t>http://services.igi-global.com/resolvedoi/resolve.aspx?doi=10.4018/978-1-4666-9916-8</t>
  </si>
  <si>
    <t>http://services.igi-global.com/resolvedoi/resolve.aspx?doi=10.4018/978-1-4666-6639-9</t>
  </si>
  <si>
    <t>http://services.igi-global.com/resolvedoi/resolve.aspx?doi=10.4018/978-1-4666-4038-2</t>
  </si>
  <si>
    <t>http://services.igi-global.com/resolvedoi/resolve.aspx?doi=10.4018/978-1-4666-2145-9</t>
  </si>
  <si>
    <t>http://services.igi-global.com/resolvedoi/resolve.aspx?doi=10.4018/978-1-5225-4186-8</t>
  </si>
  <si>
    <t>http://services.igi-global.com/resolvedoi/resolve.aspx?doi=10.4018/978-1-5225-5999-3</t>
  </si>
  <si>
    <t>http://services.igi-global.com/resolvedoi/resolve.aspx?doi=10.4018/978-1-5225-3613-0</t>
  </si>
  <si>
    <t>http://services.igi-global.com/resolvedoi/resolve.aspx?doi=10.4018/978-1-5225-4105-9</t>
  </si>
  <si>
    <t>http://services.igi-global.com/resolvedoi/resolve.aspx?doi=10.4018/978-1-5225-3176-0</t>
  </si>
  <si>
    <t>http://services.igi-global.com/resolvedoi/resolve.aspx?doi=10.4018/978-1-5225-3079-4</t>
  </si>
  <si>
    <t>http://services.igi-global.com/resolvedoi/resolve.aspx?doi=10.4018/978-1-5225-3683-3</t>
  </si>
  <si>
    <t>http://services.igi-global.com/resolvedoi/resolve.aspx?doi=10.4018/978-1-5225-3537-9</t>
  </si>
  <si>
    <t>http://services.igi-global.com/resolvedoi/resolve.aspx?doi=10.4018/978-1-5225-3270-5</t>
  </si>
  <si>
    <t>http://services.igi-global.com/resolvedoi/resolve.aspx?doi=10.4018/978-1-5225-2636-0</t>
  </si>
  <si>
    <t>http://services.igi-global.com/resolvedoi/resolve.aspx?doi=10.4018/978-1-5225-0302-6</t>
  </si>
  <si>
    <t>http://services.igi-global.com/resolvedoi/resolve.aspx?doi=10.4018/978-1-5225-0341-5</t>
  </si>
  <si>
    <t>http://services.igi-global.com/resolvedoi/resolve.aspx?doi=10.4018/978-1-4666-8282-5</t>
  </si>
  <si>
    <t>E15 光電工程</t>
  </si>
  <si>
    <t>http://services.igi-global.com/resolvedoi/resolve.aspx?doi=10.4018/978-1-5225-0242-5</t>
  </si>
  <si>
    <t>E18 電力工程</t>
  </si>
  <si>
    <t>http://services.igi-global.com/resolvedoi/resolve.aspx?doi=10.4018/978-1-5225-3862-2</t>
  </si>
  <si>
    <t>http://services.igi-global.com/resolvedoi/resolve.aspx?doi=10.4018/978-1-5225-3935-3</t>
  </si>
  <si>
    <t>http://services.igi-global.com/resolvedoi/resolve.aspx?doi=10.4018/978-1-5225-3853-0</t>
  </si>
  <si>
    <t>http://services.igi-global.com/resolvedoi/resolve.aspx?doi=10.4018/978-1-5225-2776-3</t>
  </si>
  <si>
    <t>E50 工業工程與管理</t>
  </si>
  <si>
    <t>http://services.igi-global.com/resolvedoi/resolve.aspx?doi=10.4018/978-1-5225-3064-0</t>
  </si>
  <si>
    <t>http://services.igi-global.com/resolvedoi/resolve.aspx?doi=10.4018/978-1-4666-7320-5</t>
  </si>
  <si>
    <t>http://services.igi-global.com/resolvedoi/resolve.aspx?doi=10.4018/978-1-5225-2218-8</t>
  </si>
  <si>
    <t>http://services.igi-global.com/resolvedoi/resolve.aspx?doi=10.4018/978-1-5225-1753-5</t>
  </si>
  <si>
    <t>http://services.igi-global.com/resolvedoi/resolve.aspx?doi=10.4018/978-1-5225-0279-1</t>
  </si>
  <si>
    <t>http://services.igi-global.com/resolvedoi/resolve.aspx?doi=10.4018/978-1-5225-1886-0</t>
  </si>
  <si>
    <t>http://services.igi-global.com/resolvedoi/resolve.aspx?doi=10.4018/978-1-5225-1965-2</t>
  </si>
  <si>
    <t>http://services.igi-global.com/resolvedoi/resolve.aspx?doi=10.4018/978-1-5225-1013-0</t>
  </si>
  <si>
    <t>http://services.igi-global.com/resolvedoi/resolve.aspx?doi=10.4018/978-1-5225-2371-0</t>
  </si>
  <si>
    <t>http://services.igi-global.com/resolvedoi/resolve.aspx?doi=10.4018/978-1-4666-8820-9</t>
  </si>
  <si>
    <t>http://services.igi-global.com/resolvedoi/resolve.aspx?doi=10.4018/978-1-5225-0305-7</t>
  </si>
  <si>
    <t>http://services.igi-global.com/resolvedoi/resolve.aspx?doi=10.4018/978-1-4666-5986-5</t>
  </si>
  <si>
    <t>IOS Press</t>
  </si>
  <si>
    <t>序號</t>
    <phoneticPr fontId="3" type="noConversion"/>
  </si>
  <si>
    <t>次主題</t>
    <phoneticPr fontId="3" type="noConversion"/>
  </si>
  <si>
    <t>Impact of Emerging Digital Technologies on Leadership in Global Business</t>
  </si>
  <si>
    <t>http://services.igi-global.com/resolvedoi/resolve.aspx?doi=10.4018/978-1-4666-6134-9</t>
    <phoneticPr fontId="3" type="noConversion"/>
  </si>
  <si>
    <t>Quality Innovation: Knowledge, Theory, and Practices</t>
  </si>
  <si>
    <t>Information Science Reference</t>
    <phoneticPr fontId="3" type="noConversion"/>
  </si>
  <si>
    <t>http://services.igi-global.com/resolvedoi/resolve.aspx?doi=10.4018/978-1-4666-4769-5</t>
    <phoneticPr fontId="3" type="noConversion"/>
  </si>
  <si>
    <t>Handbook of Research on Strategic Performance Management and Measurement Using Data Envelopment Analysis</t>
  </si>
  <si>
    <t>Osman, Ibrahim</t>
  </si>
  <si>
    <t>http://services.igi-global.com/resolvedoi/resolve.aspx?doi=10.4018/978-1-4666-4474-8</t>
    <phoneticPr fontId="3" type="noConversion"/>
  </si>
  <si>
    <t>Fuzzy Logic-Based Modeling in Collaborative and Blended Learning</t>
    <phoneticPr fontId="3" type="noConversion"/>
  </si>
  <si>
    <t>Hadjileontiadou, Sofia J.</t>
  </si>
  <si>
    <t>http://services.igi-global.com/resolvedoi/resolve.aspx?doi=10.4018/978-1-4666-8705-9</t>
    <phoneticPr fontId="3" type="noConversion"/>
  </si>
  <si>
    <t>Psychological and Pedagogical Considerations in Digital Textbook Use and Development</t>
  </si>
  <si>
    <t>http://services.igi-global.com/resolvedoi/resolve.aspx?doi=10.4018/978-1-4666-8300-6</t>
    <phoneticPr fontId="3" type="noConversion"/>
  </si>
  <si>
    <t>Intelligent Web-Based English Instruction in Middle Schools</t>
  </si>
  <si>
    <t>http://services.igi-global.com/resolvedoi/resolve.aspx?doi=10.4018/978-1-4666-6607-8</t>
    <phoneticPr fontId="3" type="noConversion"/>
  </si>
  <si>
    <t>Revolutionizing K-12 Blended Learning through the i²Flex Classroom Model</t>
  </si>
  <si>
    <t>Avgerinou, Maria D.</t>
  </si>
  <si>
    <t>http://services.igi-global.com/resolvedoi/resolve.aspx?doi=10.4018/978-1-5225-0267-8</t>
    <phoneticPr fontId="3" type="noConversion"/>
  </si>
  <si>
    <t>Maximizing Business Performance and Efficiency Through Intelligent Systems</t>
  </si>
  <si>
    <t>Rishi, Om Prakash</t>
  </si>
  <si>
    <t>http://services.igi-global.com/resolvedoi/resolve.aspx?doi=10.4018/978-1-5225-2234-8</t>
    <phoneticPr fontId="3" type="noConversion"/>
  </si>
  <si>
    <t>Public Health and Welfare: Concepts, Methodologies, Tools, and Applications</t>
  </si>
  <si>
    <t>紙本3冊</t>
    <phoneticPr fontId="3" type="noConversion"/>
  </si>
  <si>
    <t>http://services.igi-global.com/resolvedoi/resolve.aspx?doi=10.4018/978-1-5225-1674-3</t>
    <phoneticPr fontId="3" type="noConversion"/>
  </si>
  <si>
    <t>Handbook of Research on Leveraging Consumer Psychology for Effective Customer Engagement</t>
  </si>
  <si>
    <t>Suki, Norazah Mohd</t>
  </si>
  <si>
    <t>http://services.igi-global.com/resolvedoi/resolve.aspx?doi=10.4018/978-1-5225-0746-8</t>
    <phoneticPr fontId="3" type="noConversion"/>
  </si>
  <si>
    <t>Perspectives, Trends, and Applications in Corporate Finance and Accounting</t>
  </si>
  <si>
    <t>Zopounidis, Constantin</t>
  </si>
  <si>
    <t>http://services.igi-global.com/resolvedoi/resolve.aspx?doi=10.4018/978-1-5225-6114-9</t>
    <phoneticPr fontId="3" type="noConversion"/>
  </si>
  <si>
    <t>Managing Sustainable Tourism Resources</t>
  </si>
  <si>
    <t>Batabyal, Debasish</t>
  </si>
  <si>
    <t>http://services.igi-global.com/resolvedoi/resolve.aspx?doi=10.4018/978-1-5225-5772-2</t>
    <phoneticPr fontId="3" type="noConversion"/>
  </si>
  <si>
    <t>Innovative Perspectives on Public Administration in the Digital Age</t>
  </si>
  <si>
    <t>Manoharan, Aroon P.</t>
  </si>
  <si>
    <t>http://services.igi-global.com/resolvedoi/resolve.aspx?doi=10.4018/978-1-5225-5966-5</t>
    <phoneticPr fontId="3" type="noConversion"/>
  </si>
  <si>
    <t>International Student Mobility and Opportunities for Growth in the Global Marketplace</t>
  </si>
  <si>
    <t>http://services.igi-global.com/resolvedoi/resolve.aspx?doi=10.4018/978-1-5225-3451-8</t>
    <phoneticPr fontId="3" type="noConversion"/>
  </si>
  <si>
    <t>Early Childhood Education From an Intercultural and Bilingual Perspective</t>
  </si>
  <si>
    <t>Huertas-Abril, Cristina A.</t>
  </si>
  <si>
    <t>http://services.igi-global.com/resolvedoi/resolve.aspx?doi=10.4018/978-1-5225-5167-6</t>
    <phoneticPr fontId="3" type="noConversion"/>
  </si>
  <si>
    <t>Study Abroad Contexts for Enhanced Foreign Language Learning</t>
  </si>
  <si>
    <t>Velliaris, Donna M.</t>
  </si>
  <si>
    <t>http://services.igi-global.com/resolvedoi/resolve.aspx?doi=10.4018/978-1-5225-3814-1</t>
    <phoneticPr fontId="3" type="noConversion"/>
  </si>
  <si>
    <t>H08 哲學</t>
  </si>
  <si>
    <t>Narratives and the Role of Philosophy in Cross-Disciplinary Studies: Emerging Research and Opportunities</t>
  </si>
  <si>
    <t>Pascal, Ana-Maria</t>
  </si>
  <si>
    <t>http://services.igi-global.com/resolvedoi/resolve.aspx?doi=10.4018/978-1-5225-5572-8</t>
    <phoneticPr fontId="3" type="noConversion"/>
  </si>
  <si>
    <t>Preparing the Next Generation of Teachers for 21st Century Education</t>
  </si>
  <si>
    <t>Tang, Siew Fun</t>
  </si>
  <si>
    <t>http://services.igi-global.com/resolvedoi/resolve.aspx?doi=10.4018/978-1-5225-4080-9</t>
    <phoneticPr fontId="3" type="noConversion"/>
  </si>
  <si>
    <t>Digital Technologies and Instructional Design for Personalized Learning</t>
  </si>
  <si>
    <t>http://services.igi-global.com/resolvedoi/resolve.aspx?doi=10.4018/978-1-5225-3940-7</t>
    <phoneticPr fontId="3" type="noConversion"/>
  </si>
  <si>
    <t>Handbook of Research on Social Marketing and Its Influence on Animal Origin Food Product Consumption</t>
  </si>
  <si>
    <t>Bogueva, Diana</t>
  </si>
  <si>
    <t>http://services.igi-global.com/resolvedoi/resolve.aspx?doi=10.4018/978-1-5225-4757-0</t>
    <phoneticPr fontId="3" type="noConversion"/>
  </si>
  <si>
    <t>Handbook of Research on Heritage Management and Preservation</t>
  </si>
  <si>
    <t>Ngulube, Patrick</t>
  </si>
  <si>
    <t>http://services.igi-global.com/resolvedoi/resolve.aspx?doi=10.4018/978-1-5225-3137-1</t>
    <phoneticPr fontId="3" type="noConversion"/>
  </si>
  <si>
    <t>Political Mediation in Modern Conflict Resolution: Emerging Research and Opportunities</t>
  </si>
  <si>
    <t>Rocha, José Pascal da</t>
  </si>
  <si>
    <t>http://services.igi-global.com/resolvedoi/resolve.aspx?doi=10.4018/978-1-5225-5118-8</t>
    <phoneticPr fontId="3" type="noConversion"/>
  </si>
  <si>
    <t>Written Corrective Feedback for L2 Development: Emerging Research and Opportunities</t>
  </si>
  <si>
    <t>Guo, Qi</t>
  </si>
  <si>
    <t>http://services.igi-global.com/resolvedoi/resolve.aspx?doi=10.4018/978-1-5225-5103-4</t>
    <phoneticPr fontId="3" type="noConversion"/>
  </si>
  <si>
    <t>Cultivating Diverse Online Classrooms Through Effective Instructional Design</t>
  </si>
  <si>
    <t>Milheim, Karen L.</t>
  </si>
  <si>
    <t>http://services.igi-global.com/resolvedoi/resolve.aspx?doi=10.4018/978-1-5225-3120-3</t>
    <phoneticPr fontId="3" type="noConversion"/>
  </si>
  <si>
    <t>Health Economics and Healthcare Reform: Breakthroughs in Research and Practice</t>
  </si>
  <si>
    <t>http://services.igi-global.com/resolvedoi/resolve.aspx?doi=10.4018/978-1-5225-3168-5</t>
    <phoneticPr fontId="3" type="noConversion"/>
  </si>
  <si>
    <t>Novel Design and the Applications of Smart-M3 Platform in the Internet of Things: Emerging Research and Opportunities</t>
  </si>
  <si>
    <t>Korzun, Dmitry</t>
  </si>
  <si>
    <t>http://services.igi-global.com/resolvedoi/resolve.aspx?doi=10.4018/978-1-5225-2653-7</t>
    <phoneticPr fontId="3" type="noConversion"/>
  </si>
  <si>
    <t>Human Performance Technology: Concepts, Methodologies, Tools, and Applications</t>
  </si>
  <si>
    <t>紙本4冊</t>
    <phoneticPr fontId="3" type="noConversion"/>
  </si>
  <si>
    <t>http://services.igi-global.com/resolvedoi/resolve.aspx?doi=10.4018/978-1-5225-8356-1</t>
    <phoneticPr fontId="3" type="noConversion"/>
  </si>
  <si>
    <t>K-12 STEM Education in Urban Learning Environments</t>
  </si>
  <si>
    <t>Wendt, Jillian L.</t>
  </si>
  <si>
    <t>http://services.igi-global.com/resolvedoi/resolve.aspx?doi=10.4018/978-1-5225-7814-7</t>
    <phoneticPr fontId="3" type="noConversion"/>
  </si>
  <si>
    <t>Virtual Reality in Education: Breakthroughs in Research and Practice</t>
  </si>
  <si>
    <t>紙本2冊</t>
    <phoneticPr fontId="3" type="noConversion"/>
  </si>
  <si>
    <t>http://services.igi-global.com/resolvedoi/resolve.aspx?doi=10.4018/978-1-5225-8179-6</t>
    <phoneticPr fontId="3" type="noConversion"/>
  </si>
  <si>
    <t>Next-Generation Wireless Networks Meet Advanced Machine Learning Applications</t>
  </si>
  <si>
    <t>Comsa, Ioan-Sorin</t>
  </si>
  <si>
    <t>http://services.igi-global.com/resolvedoi/resolve.aspx?doi=10.4018/978-1-5225-7458-3</t>
    <phoneticPr fontId="3" type="noConversion"/>
  </si>
  <si>
    <t>Throughput Accounting in a Hyperconnected World</t>
  </si>
  <si>
    <t>http://services.igi-global.com/resolvedoi/resolve.aspx?doi=10.4018/978-1-5225-7712-6</t>
    <phoneticPr fontId="3" type="noConversion"/>
  </si>
  <si>
    <t>Handbook of Research on Strategic Communication, Leadership, and Conflict Management in Modern Organizations</t>
  </si>
  <si>
    <t>Normore, Anthony</t>
  </si>
  <si>
    <t>http://services.igi-global.com/resolvedoi/resolve.aspx?doi=10.4018/978-1-5225-8516-9</t>
    <phoneticPr fontId="3" type="noConversion"/>
  </si>
  <si>
    <t>Advanced Web Applications and Progressing E-Learning 2.0 Technologies in Higher Education</t>
  </si>
  <si>
    <t>Pelet, Jean-Éric</t>
  </si>
  <si>
    <t>http://services.igi-global.com/resolvedoi/resolve.aspx?doi=10.4018/978-1-5225-7435-4</t>
    <phoneticPr fontId="3" type="noConversion"/>
  </si>
  <si>
    <t>H04 語言學</t>
  </si>
  <si>
    <t>Deep Semantics and the Evolution of New Scientific Theories and Discoveries</t>
  </si>
  <si>
    <t>Adi, Tom</t>
  </si>
  <si>
    <t>http://services.igi-global.com/resolvedoi/resolve.aspx?doi=10.4018/978-1-5225-8079-9</t>
    <phoneticPr fontId="3" type="noConversion"/>
  </si>
  <si>
    <t>Managing Screen Time in an Online Society</t>
  </si>
  <si>
    <t>Oliveira, Lídia</t>
  </si>
  <si>
    <t>http://services.igi-global.com/resolvedoi/resolve.aspx?doi=10.4018/978-1-5225-8163-5</t>
    <phoneticPr fontId="3" type="noConversion"/>
  </si>
  <si>
    <t>Digital Games for Minority Student Engagement: Emerging Research and Opportunities</t>
  </si>
  <si>
    <t>Misra, Rupanada</t>
  </si>
  <si>
    <t>http://services.igi-global.com/resolvedoi/resolve.aspx?doi=10.4018/978-1-5225-3398-6</t>
    <phoneticPr fontId="3" type="noConversion"/>
  </si>
  <si>
    <t>Digital Humanities and Scholarly Research Trends in the Asia-Pacific</t>
  </si>
  <si>
    <t>Wong, Shun-han Rebekah</t>
  </si>
  <si>
    <t>http://services.igi-global.com/resolvedoi/resolve.aspx?doi=10.4018/978-1-5225-7195-7</t>
    <phoneticPr fontId="3" type="noConversion"/>
  </si>
  <si>
    <t>Green Finance for Sustainable Global Growth</t>
  </si>
  <si>
    <t>Tsai, Sang-Bing</t>
  </si>
  <si>
    <t>http://services.igi-global.com/resolvedoi/resolve.aspx?doi=10.4018/978-1-5225-7808-6</t>
    <phoneticPr fontId="3" type="noConversion"/>
  </si>
  <si>
    <t>Positioning and Branding Tourism Destinations for Global Competitiveness</t>
  </si>
  <si>
    <t>Hashim, Rahmat</t>
  </si>
  <si>
    <t>http://services.igi-global.com/resolvedoi/resolve.aspx?doi=10.4018/978-1-5225-7253-4</t>
    <phoneticPr fontId="3" type="noConversion"/>
  </si>
  <si>
    <t>FinTech as a Disruptive Technology for Financial Institutions</t>
  </si>
  <si>
    <t>Rafay, Abdul</t>
  </si>
  <si>
    <t>http://services.igi-global.com/resolvedoi/resolve.aspx?doi=10.4018/978-1-5225-7805-5</t>
    <phoneticPr fontId="3" type="noConversion"/>
  </si>
  <si>
    <t>Capital Management and Budgeting in the Public Sector</t>
  </si>
  <si>
    <t>Srithongrung, Arwiphawee</t>
  </si>
  <si>
    <t>http://services.igi-global.com/resolvedoi/resolve.aspx?doi=10.4018/978-1-5225-7329-6</t>
    <phoneticPr fontId="3" type="noConversion"/>
  </si>
  <si>
    <t>Civic Engagement and Politics: Concepts, Methodologies, Tools, and Applications</t>
  </si>
  <si>
    <t>紙本3冊</t>
    <phoneticPr fontId="3" type="noConversion"/>
  </si>
  <si>
    <t>http://services.igi-global.com/resolvedoi/resolve.aspx?doi=10.4018/978-1-5225-7669-3</t>
    <phoneticPr fontId="3" type="noConversion"/>
  </si>
  <si>
    <t>Paving the Way for 5G Through the Convergence of Wireless Systems</t>
  </si>
  <si>
    <t>Trestian, Ramona</t>
  </si>
  <si>
    <t>http://services.igi-global.com/resolvedoi/resolve.aspx?doi=10.4018/978-1-5225-7570-2</t>
    <phoneticPr fontId="3" type="noConversion"/>
  </si>
  <si>
    <t>Cases on Service Delivery in Special Education Programs</t>
  </si>
  <si>
    <t>Epler, Pam L.</t>
  </si>
  <si>
    <t>http://services.igi-global.com/resolvedoi/resolve.aspx?doi=10.4018/978-1-5225-8069-0</t>
    <phoneticPr fontId="3" type="noConversion"/>
  </si>
  <si>
    <t>Assessing the Effectiveness of Virtual Technologies in Foreign and Second Language Instruction</t>
  </si>
  <si>
    <t>Kruk, Mariusz</t>
  </si>
  <si>
    <t>http://services.igi-global.com/resolvedoi/resolve.aspx?doi=10.4018/978-1-5225-7286-2</t>
    <phoneticPr fontId="3" type="noConversion"/>
  </si>
  <si>
    <t>Strategic Collaborative Innovations in Organizational Systems</t>
  </si>
  <si>
    <t>Mupepi, Mambo</t>
  </si>
  <si>
    <t>http://services.igi-global.com/resolvedoi/resolve.aspx?doi=10.4018/978-1-5225-7390-6</t>
    <phoneticPr fontId="3" type="noConversion"/>
  </si>
  <si>
    <t>Planning and Analyzing Foreign Direct Investment Projects: Emerging Research and Opportunities</t>
  </si>
  <si>
    <t>Sarıaslan, Halil</t>
  </si>
  <si>
    <t>http://services.igi-global.com/resolvedoi/resolve.aspx?doi=10.4018/978-1-5225-7696-9</t>
    <phoneticPr fontId="3" type="noConversion"/>
  </si>
  <si>
    <t>Handbook of Research on Value Creation for Small and Micro Social Enterprises</t>
  </si>
  <si>
    <t>Maher, Chi</t>
  </si>
  <si>
    <t>http://services.igi-global.com/resolvedoi/resolve.aspx?doi=10.4018/978-1-5225-6298-6</t>
    <phoneticPr fontId="3" type="noConversion"/>
  </si>
  <si>
    <t>Knowledge-Driven Innovation in Start-Ups and SMEs: Emerging Research and Opportunities</t>
  </si>
  <si>
    <t>Sousa, Joana Coutinho</t>
  </si>
  <si>
    <t>http://services.igi-global.com/resolvedoi/resolve.aspx?doi=10.4018/978-1-5225-7155-1</t>
    <phoneticPr fontId="3" type="noConversion"/>
  </si>
  <si>
    <t>Social Research Methodology and New Techniques in Analysis, Interpretation, and Writing</t>
  </si>
  <si>
    <t>Islam, M. Rezaul</t>
  </si>
  <si>
    <t>http://services.igi-global.com/resolvedoi/resolve.aspx?doi=10.4018/978-1-5225-7897-0</t>
    <phoneticPr fontId="3" type="noConversion"/>
  </si>
  <si>
    <t>Corporate Social Responsibility and the Inclusivity of Women in the Mining Industry: Emerging Research and Opportunities</t>
  </si>
  <si>
    <t>Pimpa, Nattavud</t>
  </si>
  <si>
    <t>http://services.igi-global.com/resolvedoi/resolve.aspx?doi=10.4018/978-1-5225-3811-0</t>
    <phoneticPr fontId="3" type="noConversion"/>
  </si>
  <si>
    <t>Service Marketing Strategies for Small and Medium Enterprises: Emerging Research and Opportunities</t>
  </si>
  <si>
    <t>Rahman, Muhammad Sabbir</t>
  </si>
  <si>
    <t>http://services.igi-global.com/resolvedoi/resolve.aspx?doi=10.4018/978-1-5225-7891-8</t>
    <phoneticPr fontId="3" type="noConversion"/>
  </si>
  <si>
    <t>Advanced Macroergonomics and Sociotechnical Approaches for Optimal Organizational Performance</t>
  </si>
  <si>
    <t>Realyvásquez, Arturo</t>
  </si>
  <si>
    <t>http://services.igi-global.com/resolvedoi/resolve.aspx?doi=10.4018/978-1-5225-7192-6</t>
    <phoneticPr fontId="3" type="noConversion"/>
  </si>
  <si>
    <t>Handbook of Research on Contemporary Approaches in Management and Organizational Strategy</t>
  </si>
  <si>
    <t>Doğru, Çağlar</t>
  </si>
  <si>
    <t>http://services.igi-global.com/resolvedoi/resolve.aspx?doi=10.4018/978-1-5225-6301-3</t>
    <phoneticPr fontId="3" type="noConversion"/>
  </si>
  <si>
    <t>Big Data Governance and Perspectives in Knowledge Management</t>
  </si>
  <si>
    <t>Strydom, Sheryl Kruger</t>
  </si>
  <si>
    <t>http://services.igi-global.com/resolvedoi/resolve.aspx?doi=10.4018/978-1-5225-7077-6</t>
    <phoneticPr fontId="3" type="noConversion"/>
  </si>
  <si>
    <t>Corporate Social Responsibility and Opportunities for Sustainable Financial Success</t>
  </si>
  <si>
    <t>Puaschunder, Julia Margarete</t>
  </si>
  <si>
    <t>http://services.igi-global.com/resolvedoi/resolve.aspx?doi=10.4018/978-1-5225-7619-8</t>
    <phoneticPr fontId="3" type="noConversion"/>
  </si>
  <si>
    <t>Big Data Analytics for Entrepreneurial Success</t>
  </si>
  <si>
    <t>Sedkaoui, Soraya</t>
  </si>
  <si>
    <t>http://services.igi-global.com/resolvedoi/resolve.aspx?doi=10.4018/978-1-5225-7609-9</t>
    <phoneticPr fontId="3" type="noConversion"/>
  </si>
  <si>
    <t>H05 文學二(外國文學、性別研究、文化研究)</t>
  </si>
  <si>
    <t>Gender Inequality and the Potential for Change in Technology Fields</t>
  </si>
  <si>
    <t>http://services.igi-global.com/resolvedoi/resolve.aspx?doi=10.4018/978-1-5225-7975-5</t>
    <phoneticPr fontId="3" type="noConversion"/>
  </si>
  <si>
    <t>Automatic Cyberbullying Detection: Emerging Research and Opportunities</t>
  </si>
  <si>
    <t>Ptaszynski, Michal E.</t>
  </si>
  <si>
    <t>http://services.igi-global.com/resolvedoi/resolve.aspx?doi=10.4018/978-1-5225-5249-9</t>
    <phoneticPr fontId="3" type="noConversion"/>
  </si>
  <si>
    <t>Architecture and Design: Breakthroughs in Research and Practice</t>
  </si>
  <si>
    <t>紙本2冊</t>
    <phoneticPr fontId="3" type="noConversion"/>
  </si>
  <si>
    <t>http://services.igi-global.com/resolvedoi/resolve.aspx?doi=10.4018/978-1-5225-7314-2</t>
    <phoneticPr fontId="3" type="noConversion"/>
  </si>
  <si>
    <t>Advanced Methodologies and Technologies in Government and Society</t>
  </si>
  <si>
    <t>http://services.igi-global.com/resolvedoi/resolve.aspx?doi=10.4018/978-1-5225-7661-7</t>
    <phoneticPr fontId="3" type="noConversion"/>
  </si>
  <si>
    <t>Neoliberalism in the Tourism and Hospitality Sector</t>
  </si>
  <si>
    <t>Nadda, Vipin</t>
  </si>
  <si>
    <t>http://services.igi-global.com/resolvedoi/resolve.aspx?doi=10.4018/978-1-5225-6983-1</t>
    <phoneticPr fontId="3" type="noConversion"/>
  </si>
  <si>
    <t>Semantic Web Science and Real-World Applications</t>
  </si>
  <si>
    <t>http://services.igi-global.com/resolvedoi/resolve.aspx?doi=10.4018/978-1-5225-7186-5</t>
    <phoneticPr fontId="3" type="noConversion"/>
  </si>
  <si>
    <t>Applied Psycholinguistics and Multilingual Cognition in Human Creativity</t>
  </si>
  <si>
    <t>http://services.igi-global.com/resolvedoi/resolve.aspx?doi=10.4018/978-1-5225-6992-3</t>
    <phoneticPr fontId="3" type="noConversion"/>
  </si>
  <si>
    <t>Handbook of Research on Curriculum Reform Initiatives in English Education</t>
  </si>
  <si>
    <t>Denman, Christopher</t>
  </si>
  <si>
    <t>http://services.igi-global.com/resolvedoi/resolve.aspx?doi=10.4018/978-1-5225-5846-0</t>
    <phoneticPr fontId="3" type="noConversion"/>
  </si>
  <si>
    <t>Emerging Automation Techniques for the Future Internet</t>
  </si>
  <si>
    <t>http://services.igi-global.com/resolvedoi/resolve.aspx?doi=10.4018/978-1-5225-7146-9</t>
    <phoneticPr fontId="3" type="noConversion"/>
  </si>
  <si>
    <t>Policies and Initiatives for the Internationalization of Higher Education</t>
  </si>
  <si>
    <t>Silman, Fatoş</t>
  </si>
  <si>
    <t>http://services.igi-global.com/resolvedoi/resolve.aspx?doi=10.4018/978-1-5225-5231-4</t>
    <phoneticPr fontId="3" type="noConversion"/>
  </si>
  <si>
    <t>Corporate Insolvency Law and Bankruptcy Reforms in the Global Economy</t>
  </si>
  <si>
    <t>Kashyap, Amit</t>
  </si>
  <si>
    <t>http://services.igi-global.com/resolvedoi/resolve.aspx?doi=10.4018/978-1-5225-5541-4</t>
    <phoneticPr fontId="3" type="noConversion"/>
  </si>
  <si>
    <t>Educational Research in the Age of Anthropocene</t>
  </si>
  <si>
    <t>Reyes, Vicente</t>
  </si>
  <si>
    <t>http://services.igi-global.com/resolvedoi/resolve.aspx?doi=10.4018/978-1-5225-5317-5</t>
    <phoneticPr fontId="3" type="noConversion"/>
  </si>
  <si>
    <t>Time Bank as a Complementary Economic System: Emerging Research and Opportunities</t>
  </si>
  <si>
    <t>Valek, Lukas</t>
  </si>
  <si>
    <t>http://services.igi-global.com/resolvedoi/resolve.aspx?doi=10.4018/978-1-5225-6974-9</t>
    <phoneticPr fontId="3" type="noConversion"/>
  </si>
  <si>
    <t>Advanced Methodologies and Technologies in Modern Education Delivery</t>
  </si>
  <si>
    <t>紙本2冊</t>
    <phoneticPr fontId="3" type="noConversion"/>
  </si>
  <si>
    <t>http://services.igi-global.com/resolvedoi/resolve.aspx?doi=10.4018/978-1-5225-7365-4</t>
    <phoneticPr fontId="3" type="noConversion"/>
  </si>
  <si>
    <t>Assessing and Averting the Prevalence of Mass Violence</t>
  </si>
  <si>
    <t>Daly, Sarah E.</t>
  </si>
  <si>
    <t>http://services.igi-global.com/resolvedoi/resolve.aspx?doi=10.4018/978-1-5225-5670-1</t>
    <phoneticPr fontId="3" type="noConversion"/>
  </si>
  <si>
    <t>Business Community Engagement for Educational Initiatives</t>
  </si>
  <si>
    <t>Epshtein, Mikhail</t>
  </si>
  <si>
    <t>http://services.igi-global.com/resolvedoi/resolve.aspx?doi=10.4018/978-1-5225-6951-0</t>
    <phoneticPr fontId="3" type="noConversion"/>
  </si>
  <si>
    <t>Emerging Applications in Supply Chains for Sustainable Business Development</t>
  </si>
  <si>
    <t>Kumar, M. Vijaya</t>
  </si>
  <si>
    <t>http://services.igi-global.com/resolvedoi/resolve.aspx?doi=10.4018/978-1-5225-5424-0</t>
    <phoneticPr fontId="3" type="noConversion"/>
  </si>
  <si>
    <t>Environmental Impacts of Tourism in Developing Nations</t>
  </si>
  <si>
    <t>Sharma, Ravi</t>
  </si>
  <si>
    <t>http://services.igi-global.com/resolvedoi/resolve.aspx?doi=10.4018/978-1-5225-5843-9</t>
    <phoneticPr fontId="3" type="noConversion"/>
  </si>
  <si>
    <t>H23 藝術學</t>
  </si>
  <si>
    <t>Healing Through the Arts for Non-Clinical Practitioners</t>
  </si>
  <si>
    <t>Bopp, Jenny</t>
  </si>
  <si>
    <t>http://services.igi-global.com/resolvedoi/resolve.aspx?doi=10.4018/978-1-5225-5981-8</t>
    <phoneticPr fontId="3" type="noConversion"/>
  </si>
  <si>
    <t>Application of Gaming in New Media Marketing</t>
  </si>
  <si>
    <t>Mishra, Pratika</t>
  </si>
  <si>
    <t>http://services.igi-global.com/resolvedoi/resolve.aspx?doi=10.4018/978-1-5225-6064-7</t>
    <phoneticPr fontId="3" type="noConversion"/>
  </si>
  <si>
    <t>Social Issues Surrounding Harassment and Assault: Breakthroughs in Research and Practice</t>
  </si>
  <si>
    <t>紙本2冊</t>
    <phoneticPr fontId="3" type="noConversion"/>
  </si>
  <si>
    <t>http://services.igi-global.com/resolvedoi/resolve.aspx?doi=10.4018/978-1-5225-7036-3</t>
    <phoneticPr fontId="3" type="noConversion"/>
  </si>
  <si>
    <t>Handbook of Research on the Evolution of IT and the Rise of E-Society</t>
  </si>
  <si>
    <t>http://services.igi-global.com/resolvedoi/resolve.aspx?doi=10.4018/978-1-5225-7214-5</t>
    <phoneticPr fontId="3" type="noConversion"/>
  </si>
  <si>
    <t>Handbook of Research on Socio-Economic Impacts of Religious Tourism and Pilgrimage</t>
  </si>
  <si>
    <t>Álvarez-García, José</t>
  </si>
  <si>
    <t>http://services.igi-global.com/resolvedoi/resolve.aspx?doi=10.4018/978-1-5225-5730-2</t>
    <phoneticPr fontId="3" type="noConversion"/>
  </si>
  <si>
    <t>Co-Manufacturing and New Economic Paradigms</t>
  </si>
  <si>
    <t>Focardi, Giulio</t>
  </si>
  <si>
    <t>http://services.igi-global.com/resolvedoi/resolve.aspx?doi=10.4018/978-1-5225-7089-9</t>
    <phoneticPr fontId="3" type="noConversion"/>
  </si>
  <si>
    <t>Analyzing Human Behavior in Cyberspace</t>
  </si>
  <si>
    <t>http://services.igi-global.com/resolvedoi/resolve.aspx?doi=10.4018/978-1-5225-7128-5</t>
    <phoneticPr fontId="3" type="noConversion"/>
  </si>
  <si>
    <t>Contemporary Human Resources Management in the Tourism Industry</t>
  </si>
  <si>
    <t>Tüzünkan, Demet</t>
  </si>
  <si>
    <t>http://services.igi-global.com/resolvedoi/resolve.aspx?doi=10.4018/978-1-5225-5760-9</t>
    <phoneticPr fontId="3" type="noConversion"/>
  </si>
  <si>
    <t>Literacy Skill Development for Library Science Professionals</t>
  </si>
  <si>
    <t>Thanuskodi, S.</t>
  </si>
  <si>
    <t>http://services.igi-global.com/resolvedoi/resolve.aspx?doi=10.4018/978-1-5225-7125-4</t>
    <phoneticPr fontId="3" type="noConversion"/>
  </si>
  <si>
    <t>Crowdsourcing and Knowledge Management in Contemporary Business Environments</t>
  </si>
  <si>
    <t>Lenart-Gansiniec, Regina</t>
  </si>
  <si>
    <t>http://services.igi-global.com/resolvedoi/resolve.aspx?doi=10.4018/978-1-5225-4200-1</t>
    <phoneticPr fontId="3" type="noConversion"/>
  </si>
  <si>
    <t>Law, Ethics, and Integrity in the Sports Industry</t>
  </si>
  <si>
    <t>Margaritis, Konstantinos</t>
  </si>
  <si>
    <t>http://services.igi-global.com/resolvedoi/resolve.aspx?doi=10.4018/978-1-5225-5387-8</t>
    <phoneticPr fontId="3" type="noConversion"/>
  </si>
  <si>
    <t>Burstiness Management for Smart, Sustainable and Inclusive Growth: Emerging Research and Opportunities</t>
  </si>
  <si>
    <t>Ahrens, Andreas</t>
  </si>
  <si>
    <t>http://services.igi-global.com/resolvedoi/resolve.aspx?doi=10.4018/978-1-5225-5442-4</t>
    <phoneticPr fontId="3" type="noConversion"/>
  </si>
  <si>
    <t>Outcome-Based Strategies for Adult Learning</t>
  </si>
  <si>
    <t>Jones, Janice E.</t>
  </si>
  <si>
    <t>http://services.igi-global.com/resolvedoi/resolve.aspx?doi=10.4018/978-1-5225-5712-8</t>
    <phoneticPr fontId="3" type="noConversion"/>
  </si>
  <si>
    <t>Emerging Economic Models for Global Sustainability and Social Development</t>
  </si>
  <si>
    <t>http://services.igi-global.com/resolvedoi/resolve.aspx?doi=10.4018/978-1-5225-5787-6</t>
    <phoneticPr fontId="3" type="noConversion"/>
  </si>
  <si>
    <t>English as a Foreign Language Teachers' TPACK: Emerging Research and Opportunities</t>
  </si>
  <si>
    <t>http://services.igi-global.com/resolvedoi/resolve.aspx?doi=10.4018/978-1-5225-6267-2</t>
    <phoneticPr fontId="3" type="noConversion"/>
  </si>
  <si>
    <t>Utilizing Big Data Paradigms for Business Intelligence</t>
  </si>
  <si>
    <t>Darmont, Jérôme</t>
  </si>
  <si>
    <t>http://services.igi-global.com/resolvedoi/resolve.aspx?doi=10.4018/978-1-5225-4963-5</t>
    <phoneticPr fontId="3" type="noConversion"/>
  </si>
  <si>
    <t>Digital Curation: Breakthroughs in Research and Practice</t>
  </si>
  <si>
    <t>http://services.igi-global.com/resolvedoi/resolve.aspx?doi=10.4018/978-1-5225-6921-3</t>
    <phoneticPr fontId="3" type="noConversion"/>
  </si>
  <si>
    <t>Globalized Curriculum Methods for Modern Mathematics Education</t>
  </si>
  <si>
    <t>Tella, Adedeji</t>
  </si>
  <si>
    <t>http://services.igi-global.com/resolvedoi/resolve.aspx?doi=10.4018/978-1-5225-6158-3</t>
    <phoneticPr fontId="3" type="noConversion"/>
  </si>
  <si>
    <t>Returning to Interpersonal Dialogue and Understanding Human Communication in the Digital Age</t>
  </si>
  <si>
    <t>http://services.igi-global.com/resolvedoi/resolve.aspx?doi=10.4018/978-1-5225-4168-4</t>
    <phoneticPr fontId="3" type="noConversion"/>
  </si>
  <si>
    <t>Corporate Social Responsibility and Strategic Market Positioning for Organizational Success</t>
  </si>
  <si>
    <t>Brown, Carlton</t>
  </si>
  <si>
    <t>http://services.igi-global.com/resolvedoi/resolve.aspx?doi=10.4018/978-1-5225-5409-7</t>
    <phoneticPr fontId="3" type="noConversion"/>
  </si>
  <si>
    <t>Smart Marketing With the Internet of Things</t>
  </si>
  <si>
    <t>Simões, Dora</t>
  </si>
  <si>
    <t>http://services.igi-global.com/resolvedoi/resolve.aspx?doi=10.4018/978-1-5225-5763-0</t>
    <phoneticPr fontId="3" type="noConversion"/>
  </si>
  <si>
    <t>Techno-Social Systems for Modern Economical and Governmental Infrastructures</t>
  </si>
  <si>
    <t>Troussov, Alexander</t>
  </si>
  <si>
    <t>http://services.igi-global.com/resolvedoi/resolve.aspx?doi=10.4018/978-1-5225-5586-5</t>
    <phoneticPr fontId="3" type="noConversion"/>
  </si>
  <si>
    <t>Design, Motivation, and Frameworks in Game-Based Learning</t>
  </si>
  <si>
    <t>Tan, Wee Hoe</t>
  </si>
  <si>
    <t>http://services.igi-global.com/resolvedoi/resolve.aspx?doi=10.4018/978-1-5225-6026-5</t>
    <phoneticPr fontId="3" type="noConversion"/>
  </si>
  <si>
    <t>Machine Learning Techniques for Improved Business Analytics</t>
  </si>
  <si>
    <t>http://services.igi-global.com/resolvedoi/resolve.aspx?doi=10.4018/978-1-5225-3534-8</t>
    <phoneticPr fontId="3" type="noConversion"/>
  </si>
  <si>
    <t>Knowledge Management and Innovation in Network Organizations: Emerging Research and Opportunities</t>
  </si>
  <si>
    <t>Kisielnicki, Jerzy</t>
  </si>
  <si>
    <t>http://services.igi-global.com/resolvedoi/resolve.aspx?doi=10.4018/978-1-5225-5930-6</t>
    <phoneticPr fontId="3" type="noConversion"/>
  </si>
  <si>
    <t>Digital Currency: Breakthroughs in Research and Practice</t>
  </si>
  <si>
    <t>http://services.igi-global.com/resolvedoi/resolve.aspx?doi=10.4018/978-1-5225-6201-6</t>
    <phoneticPr fontId="3" type="noConversion"/>
  </si>
  <si>
    <t>Special Interest Tourism in Southeast Asia</t>
  </si>
  <si>
    <t>Handayani, Bintang</t>
  </si>
  <si>
    <t>http://services.igi-global.com/resolvedoi/resolve.aspx?doi=10.4018/978-1-5225-7393-7</t>
    <phoneticPr fontId="3" type="noConversion"/>
  </si>
  <si>
    <t>Predicting Trends and Building Strategies for Consumer Engagement in Retail Environments</t>
  </si>
  <si>
    <t>Granata, Giuseppe</t>
  </si>
  <si>
    <t>http://services.igi-global.com/resolvedoi/resolve.aspx?doi=10.4018/978-1-5225-7856-7</t>
    <phoneticPr fontId="3" type="noConversion"/>
  </si>
  <si>
    <t>Handbook of Research on Metaheuristics for Order Picking Optimization in Warehouses to Smart Cities</t>
    <phoneticPr fontId="3" type="noConversion"/>
  </si>
  <si>
    <t>Ortiz-Zezzatti, Alberto Ochoa</t>
  </si>
  <si>
    <t>http://services.igi-global.com/resolvedoi/resolve.aspx?doi=10.4018/978-1-5225-8131-4</t>
    <phoneticPr fontId="3" type="noConversion"/>
  </si>
  <si>
    <t>Logistics and Transport Modeling in Urban Goods Movement</t>
  </si>
  <si>
    <t>Gonzalez-Feliu, Jesus</t>
  </si>
  <si>
    <t>http://services.igi-global.com/resolvedoi/resolve.aspx?doi=10.4018/978-1-5225-8292-2</t>
    <phoneticPr fontId="3" type="noConversion"/>
  </si>
  <si>
    <t>Cultural Tourism in the Wake of Web Innovation: Emerging Research and Opportunities</t>
  </si>
  <si>
    <t>McDonald, J. Scott</t>
  </si>
  <si>
    <t>http://services.igi-global.com/resolvedoi/resolve.aspx?doi=10.4018/978-1-5225-8395-0</t>
    <phoneticPr fontId="3" type="noConversion"/>
  </si>
  <si>
    <t>Global Trends, Practices, and Challenges in Contemporary Tourism and Hospitality Management</t>
  </si>
  <si>
    <t>http://services.igi-global.com/resolvedoi/resolve.aspx?doi=10.4018/978-1-5225-8494-0</t>
    <phoneticPr fontId="3" type="noConversion"/>
  </si>
  <si>
    <t>Handbook of Research on International Travel Agency and Tour Operation Management</t>
    <phoneticPr fontId="3" type="noConversion"/>
  </si>
  <si>
    <t>http://services.igi-global.com/resolvedoi/resolve.aspx?doi=10.4018/978-1-5225-8434-6</t>
    <phoneticPr fontId="3" type="noConversion"/>
  </si>
  <si>
    <t>Global Supply Chains and Multimodal Logistics: Emerging Research and Opportunities</t>
  </si>
  <si>
    <t>Sinha, Deepankar</t>
  </si>
  <si>
    <t>http://services.igi-global.com/resolvedoi/resolve.aspx?doi=10.4018/978-1-5225-8298-4</t>
    <phoneticPr fontId="3" type="noConversion"/>
  </si>
  <si>
    <t>Prevention and Detection of Academic Misconduct in Higher Education</t>
  </si>
  <si>
    <t>http://services.igi-global.com/resolvedoi/resolve.aspx?doi=10.4018/978-1-5225-7531-3</t>
    <phoneticPr fontId="3" type="noConversion"/>
  </si>
  <si>
    <t>Cases on Kyosei Practice in Music Education</t>
  </si>
  <si>
    <t>Gordon, Richard Keith</t>
  </si>
  <si>
    <t>http://services.igi-global.com/resolvedoi/resolve.aspx?doi=10.4018/978-1-5225-8042-3</t>
    <phoneticPr fontId="3" type="noConversion"/>
  </si>
  <si>
    <t>Intercultural Foreign Language Teaching and Learning in Higher Education Contexts</t>
  </si>
  <si>
    <t>Romanowski, Piotr</t>
  </si>
  <si>
    <t>http://services.igi-global.com/resolvedoi/resolve.aspx?doi=10.4018/978-1-5225-8128-4</t>
    <phoneticPr fontId="3" type="noConversion"/>
  </si>
  <si>
    <t>H22 區域研究及地理</t>
  </si>
  <si>
    <t>Learning Cities, Town Planning, and the Creation of Livelihoods</t>
  </si>
  <si>
    <t>Biao, Idowu</t>
  </si>
  <si>
    <t>http://services.igi-global.com/resolvedoi/resolve.aspx?doi=10.4018/978-1-5225-8134-5</t>
    <phoneticPr fontId="3" type="noConversion"/>
  </si>
  <si>
    <t>Re-Coding Homes Through Flexible Interiors: Emerging Research and Opportunities</t>
  </si>
  <si>
    <t>Onay, Nilufer Saglar</t>
  </si>
  <si>
    <t>http://services.igi-global.com/resolvedoi/resolve.aspx?doi=10.4018/978-1-5225-8958-7</t>
    <phoneticPr fontId="3" type="noConversion"/>
  </si>
  <si>
    <t>Green Public Procurement Strategies for Environmental Sustainability</t>
  </si>
  <si>
    <t>Shakya, Rajesh Kumar</t>
  </si>
  <si>
    <t>http://services.igi-global.com/resolvedoi/resolve.aspx?doi=10.4018/978-1-5225-7083-7</t>
    <phoneticPr fontId="3" type="noConversion"/>
  </si>
  <si>
    <t>Applying Methods of Scientific Inquiry into Intelligence, Security, and Counterterrorism</t>
  </si>
  <si>
    <t>Sari, Arif</t>
  </si>
  <si>
    <t>http://services.igi-global.com/resolvedoi/resolve.aspx?doi=10.4018/978-1-5225-8976-1</t>
    <phoneticPr fontId="3" type="noConversion"/>
  </si>
  <si>
    <t>Research Data Access and Management in Modern Libraries</t>
  </si>
  <si>
    <t>http://services.igi-global.com/resolvedoi/resolve.aspx?doi=10.4018/978-1-5225-8437-7</t>
    <phoneticPr fontId="3" type="noConversion"/>
  </si>
  <si>
    <t>Social Media for Communication and Instruction in Academic Libraries</t>
  </si>
  <si>
    <t>Joe, Jennifer Ashley Wright</t>
  </si>
  <si>
    <t>http://services.igi-global.com/resolvedoi/resolve.aspx?doi=10.4018/978-1-5225-8097-3</t>
    <phoneticPr fontId="3" type="noConversion"/>
  </si>
  <si>
    <t>H13 法律學</t>
  </si>
  <si>
    <t>Promoting Productive Cooperation Between Space Lawyers and Engineers</t>
  </si>
  <si>
    <t>Pecujlic, Anja Nakaranda</t>
  </si>
  <si>
    <t>http://services.igi-global.com/resolvedoi/resolve.aspx?doi=10.4018/978-1-5225-7256-5</t>
    <phoneticPr fontId="3" type="noConversion"/>
  </si>
  <si>
    <t>Examining the Social and Economic Impacts of Conflict-Induced Migration</t>
  </si>
  <si>
    <t>Nyam, Esther Akumbo</t>
  </si>
  <si>
    <t>http://services.igi-global.com/resolvedoi/resolve.aspx?doi=10.4018/978-1-5225-7615-0</t>
    <phoneticPr fontId="3" type="noConversion"/>
  </si>
  <si>
    <t>Understanding Rivalry and Its Influence on Sports Fans</t>
  </si>
  <si>
    <t>Havard, Cody T.</t>
  </si>
  <si>
    <t>http://services.igi-global.com/resolvedoi/resolve.aspx?doi=10.4018/978-1-5225-8125-3</t>
    <phoneticPr fontId="3" type="noConversion"/>
  </si>
  <si>
    <t>H12 心理學</t>
  </si>
  <si>
    <t>Human Behavior and Another Kind in Consciousness: Emerging Research and Opportunities</t>
  </si>
  <si>
    <t>Sugiyama, Shigeki</t>
  </si>
  <si>
    <t>http://services.igi-global.com/resolvedoi/resolve.aspx?doi=10.4018/978-1-5225-8217-5</t>
    <phoneticPr fontId="3" type="noConversion"/>
  </si>
  <si>
    <t>Internet and Social Networking Addiction: Breakthroughs in Research and Practice</t>
  </si>
  <si>
    <t>紙本2冊</t>
    <phoneticPr fontId="3" type="noConversion"/>
  </si>
  <si>
    <t>http://services.igi-global.com/resolvedoi/resolve.aspx?doi=10.4018/978-1-5225-8900-6</t>
    <phoneticPr fontId="3" type="noConversion"/>
  </si>
  <si>
    <t>Choudhury, Rahul Gupta</t>
  </si>
  <si>
    <t>http://services.igi-global.com/resolvedoi/resolve.aspx?doi=10.4018/978-1-5225-9981-4</t>
    <phoneticPr fontId="3" type="noConversion"/>
  </si>
  <si>
    <t>Multifaceted Approach to Digital Addiction and Its Treatment</t>
    <phoneticPr fontId="3" type="noConversion"/>
  </si>
  <si>
    <t>http://services.igi-global.com/resolvedoi/resolve.aspx?doi=10.4018/978-1-5225-8449-0</t>
    <phoneticPr fontId="3" type="noConversion"/>
  </si>
  <si>
    <t>Evidence-Based Approaches to Becoming a Culturally Responsive Teacher: Emerging Research and Opportunities</t>
  </si>
  <si>
    <t>Broughton, Anthony</t>
  </si>
  <si>
    <t>http://services.igi-global.com/resolvedoi/resolve.aspx?doi=10.4018/978-1-5225-8867-2</t>
    <phoneticPr fontId="3" type="noConversion"/>
  </si>
  <si>
    <t>Network Security and Its Impact on Business Strategy</t>
  </si>
  <si>
    <t>http://services.igi-global.com/resolvedoi/resolve.aspx?doi=10.4018/978-1-5225-8455-1</t>
    <phoneticPr fontId="3" type="noConversion"/>
  </si>
  <si>
    <t>Examining the Teacher Induction Process in Contemporary Education Systems</t>
  </si>
  <si>
    <t>Öztürk, Mustafa</t>
  </si>
  <si>
    <t>http://services.igi-global.com/resolvedoi/resolve.aspx?doi=10.4018/978-1-5225-5228-4</t>
    <phoneticPr fontId="3" type="noConversion"/>
  </si>
  <si>
    <t>Medical Diagnosis Using Artificial Neural Networks</t>
  </si>
  <si>
    <t>http://services.igi-global.com/resolvedoi/resolve.aspx?doi=10.4018/978-1-4666-6146-2</t>
    <phoneticPr fontId="3" type="noConversion"/>
  </si>
  <si>
    <t>Health Information Systems and the Advancement of Medical Practice in Developing Countries</t>
  </si>
  <si>
    <t>Moahi, Kgomotso H.</t>
  </si>
  <si>
    <t>http://services.igi-global.com/resolvedoi/resolve.aspx?doi=10.4018/978-1-5225-2262-1</t>
    <phoneticPr fontId="3" type="noConversion"/>
  </si>
  <si>
    <t>Contemporary Applications of Mobile Computing in Healthcare Settings</t>
  </si>
  <si>
    <t>Rajkumar, R.</t>
  </si>
  <si>
    <t>http://services.igi-global.com/resolvedoi/resolve.aspx?doi=10.4018/978-1-5225-5036-5</t>
    <phoneticPr fontId="3" type="noConversion"/>
  </si>
  <si>
    <t>B3010I2 獸醫</t>
  </si>
  <si>
    <t>Veterinary Science: Breakthroughs in Research and Practice</t>
  </si>
  <si>
    <t>http://services.igi-global.com/resolvedoi/resolve.aspx?doi=10.4018/978-1-5225-5640-4</t>
    <phoneticPr fontId="3" type="noConversion"/>
  </si>
  <si>
    <t>Urban Agriculture and Food Systems: Breakthroughs in Research and Practice</t>
  </si>
  <si>
    <t>http://services.igi-global.com/resolvedoi/resolve.aspx?doi=10.4018/978-1-5225-8063-8</t>
    <phoneticPr fontId="3" type="noConversion"/>
  </si>
  <si>
    <t>Handbook of Research on Global Environmental Changes and Human Health</t>
  </si>
  <si>
    <t>Kahime, Kholoud</t>
  </si>
  <si>
    <t>http://services.igi-global.com/resolvedoi/resolve.aspx?doi=10.4018/978-1-5225-7775-1</t>
    <phoneticPr fontId="3" type="noConversion"/>
  </si>
  <si>
    <t>Optimizing the Use of Farm Waste and Non-Farm Waste to Increase Productivity and Food Security: Emerging Research and Opportunities</t>
  </si>
  <si>
    <t>Naraine, Leighton</t>
  </si>
  <si>
    <t>http://services.igi-global.com/resolvedoi/resolve.aspx?doi=10.4018/978-1-5225-7934-2</t>
    <phoneticPr fontId="3" type="noConversion"/>
  </si>
  <si>
    <t>Mobile Health Applications for Quality Healthcare Delivery</t>
  </si>
  <si>
    <t>http://services.igi-global.com/resolvedoi/resolve.aspx?doi=10.4018/978-1-5225-8021-8</t>
    <phoneticPr fontId="3" type="noConversion"/>
  </si>
  <si>
    <t>Environmental, Health, and Business Opportunities in the New Meat Alternatives Market</t>
  </si>
  <si>
    <t>http://services.igi-global.com/resolvedoi/resolve.aspx?doi=10.4018/978-1-5225-7350-0</t>
    <phoneticPr fontId="3" type="noConversion"/>
  </si>
  <si>
    <t>Computer Applications in Drug Discovery and Development</t>
  </si>
  <si>
    <t>Puratchikody, A.</t>
  </si>
  <si>
    <t>http://services.igi-global.com/resolvedoi/resolve.aspx?doi=10.4018/978-1-5225-7326-5</t>
    <phoneticPr fontId="3" type="noConversion"/>
  </si>
  <si>
    <t>Chronic Illness and Long-Term Care: Breakthroughs in Research and Practice</t>
  </si>
  <si>
    <t>紙本2冊</t>
    <phoneticPr fontId="3" type="noConversion"/>
  </si>
  <si>
    <t>http://services.igi-global.com/resolvedoi/resolve.aspx?doi=10.4018/978-1-5225-7122-3</t>
    <phoneticPr fontId="3" type="noConversion"/>
  </si>
  <si>
    <t>Complementary and Alternative Medicine: Breakthroughs in Research and Practice</t>
  </si>
  <si>
    <t>http://services.igi-global.com/resolvedoi/resolve.aspx?doi=10.4018/978-1-5225-7039-4</t>
    <phoneticPr fontId="3" type="noConversion"/>
  </si>
  <si>
    <t>Medical Image Processing for Improved Clinical Diagnosis</t>
  </si>
  <si>
    <t>Swarnambiga, A.</t>
  </si>
  <si>
    <t>http://services.igi-global.com/resolvedoi/resolve.aspx?doi=10.4018/978-1-5225-5876-7</t>
    <phoneticPr fontId="3" type="noConversion"/>
  </si>
  <si>
    <t>Smart Farming Technologies for Sustainable Agricultural Development</t>
  </si>
  <si>
    <t>Poonia, Ramesh C.</t>
  </si>
  <si>
    <t>http://services.igi-global.com/resolvedoi/resolve.aspx?doi=10.4018/978-1-5225-5909-2</t>
    <phoneticPr fontId="3" type="noConversion"/>
  </si>
  <si>
    <t>Nutraceutical and Functional Foods in Disease Prevention</t>
  </si>
  <si>
    <t>http://services.igi-global.com/resolvedoi/resolve.aspx?doi=10.4018/978-1-5225-3267-5</t>
    <phoneticPr fontId="3" type="noConversion"/>
  </si>
  <si>
    <t>B2020G0 生物多樣性及長期生態</t>
  </si>
  <si>
    <t>Climate Change and Its Impact on Ecosystem Services and Biodiversity in Arid and Semi-Arid Zones</t>
  </si>
  <si>
    <t>Karmaoui, Ahmed</t>
  </si>
  <si>
    <t>http://services.igi-global.com/resolvedoi/resolve.aspx?doi=10.4018/978-1-5225-7387-6</t>
    <phoneticPr fontId="3" type="noConversion"/>
  </si>
  <si>
    <t>B3010D3 土壤及環保</t>
  </si>
  <si>
    <t>Amelioration Technology for Soil Sustainability</t>
  </si>
  <si>
    <t>http://services.igi-global.com/resolvedoi/resolve.aspx?doi=10.4018/978-1-5225-7940-3</t>
    <phoneticPr fontId="3" type="noConversion"/>
  </si>
  <si>
    <t>Global Applications of One Health Practice and Care</t>
  </si>
  <si>
    <t>Yasobant, Sandul</t>
  </si>
  <si>
    <t>http://services.igi-global.com/resolvedoi/resolve.aspx?doi=10.4018/978-1-5225-6304-4</t>
    <phoneticPr fontId="3" type="noConversion"/>
  </si>
  <si>
    <t>Environmental Exposures and Human Health Challenges</t>
  </si>
  <si>
    <t>Papadopoulou, Paraskevi</t>
  </si>
  <si>
    <t>http://services.igi-global.com/resolvedoi/resolve.aspx?doi=10.4018/978-1-5225-7635-8</t>
    <phoneticPr fontId="3" type="noConversion"/>
  </si>
  <si>
    <t>Information Security in Diverse Computing Environments</t>
  </si>
  <si>
    <t>Kayem, Anne</t>
  </si>
  <si>
    <t>http://services.igi-global.com/resolvedoi/resolve.aspx?doi=10.4018/978-1-4666-6158-5</t>
    <phoneticPr fontId="3" type="noConversion"/>
  </si>
  <si>
    <t>Improving Knowledge Discovery through the Integration of Data Mining Techniques</t>
  </si>
  <si>
    <t>Usman, Muhammad</t>
  </si>
  <si>
    <t>http://services.igi-global.com/resolvedoi/resolve.aspx?doi=10.4018/978-1-4666-8513-0</t>
    <phoneticPr fontId="3" type="noConversion"/>
  </si>
  <si>
    <t>Intelligent Multidimensional Data Clustering and Analysis</t>
  </si>
  <si>
    <t>http://services.igi-global.com/resolvedoi/resolve.aspx?doi=10.4018/978-1-5225-1776-4</t>
    <phoneticPr fontId="3" type="noConversion"/>
  </si>
  <si>
    <t>Identity Theft: Breakthroughs in Research and Practice</t>
  </si>
  <si>
    <t>http://services.igi-global.com/resolvedoi/resolve.aspx?doi=10.4018/978-1-5225-0808-3</t>
    <phoneticPr fontId="3" type="noConversion"/>
  </si>
  <si>
    <t>Emerging Trends in the Development and Application of Composite Indicators</t>
  </si>
  <si>
    <t>Jeremic, Veljko</t>
  </si>
  <si>
    <t>http://services.igi-global.com/resolvedoi/resolve.aspx?doi=10.4018/978-1-5225-0714-7</t>
    <phoneticPr fontId="3" type="noConversion"/>
  </si>
  <si>
    <t>Handbook of Research on Investigations in Artificial Life Research and Development</t>
  </si>
  <si>
    <t>http://services.igi-global.com/resolvedoi/resolve.aspx?doi=10.4018/978-1-5225-5396-0</t>
    <phoneticPr fontId="3" type="noConversion"/>
  </si>
  <si>
    <t>Analyzing the Role of Risk Mitigation and Monitoring in Software Development</t>
  </si>
  <si>
    <t>Kumar, Rohit</t>
  </si>
  <si>
    <t>http://services.igi-global.com/resolvedoi/resolve.aspx?doi=10.4018/978-1-5225-6029-6</t>
    <phoneticPr fontId="3" type="noConversion"/>
  </si>
  <si>
    <t>Applications of Security, Mobile, Analytic, and Cloud (SMAC) Technologies for Effective Information Processing and Management</t>
  </si>
  <si>
    <t>Karthikeyan, P.</t>
  </si>
  <si>
    <t>http://services.igi-global.com/resolvedoi/resolve.aspx?doi=10.4018/978-1-5225-4044-1</t>
    <phoneticPr fontId="3" type="noConversion"/>
  </si>
  <si>
    <t>Handbook of Research on Predictive Modeling and Optimization Methods in Science and Engineering</t>
  </si>
  <si>
    <t>Kim, Dookie</t>
  </si>
  <si>
    <t>http://services.igi-global.com/resolvedoi/resolve.aspx?doi=10.4018/978-1-5225-4766-2</t>
    <phoneticPr fontId="3" type="noConversion"/>
  </si>
  <si>
    <t>Recent Advancements in Airborne Radar Signal Processing: Emerging Research and Opportunities</t>
  </si>
  <si>
    <t>Almslmany, Amir</t>
  </si>
  <si>
    <t>http://services.igi-global.com/resolvedoi/resolve.aspx?doi=10.4018/978-1-5225-5436-3</t>
    <phoneticPr fontId="3" type="noConversion"/>
  </si>
  <si>
    <t>Dynamic Knowledge Representation in Scientific Domains</t>
  </si>
  <si>
    <t>Pshenichny, Cyril</t>
  </si>
  <si>
    <t>http://services.igi-global.com/resolvedoi/resolve.aspx?doi=10.4018/978-1-5225-5261-1</t>
    <phoneticPr fontId="3" type="noConversion"/>
  </si>
  <si>
    <t>Handbook of Research on Trends and Digital Advances in Engineering Geology</t>
  </si>
  <si>
    <t>Ceryan, Nurcihan</t>
  </si>
  <si>
    <t>http://services.igi-global.com/resolvedoi/resolve.aspx?doi=10.4018/978-1-5225-2709-1</t>
    <phoneticPr fontId="3" type="noConversion"/>
  </si>
  <si>
    <t>Polymer Nanocomposites for Advanced Engineering and Military Applications</t>
  </si>
  <si>
    <t>Ramdani, Noureddine</t>
  </si>
  <si>
    <t>http://services.igi-global.com/resolvedoi/resolve.aspx?doi=10.4018/978-1-5225-7838-3</t>
    <phoneticPr fontId="3" type="noConversion"/>
  </si>
  <si>
    <t>Cloud Security: Concepts, Methodologies, Tools, and Applications</t>
  </si>
  <si>
    <t>紙本4冊</t>
    <phoneticPr fontId="3" type="noConversion"/>
  </si>
  <si>
    <t>http://services.igi-global.com/resolvedoi/resolve.aspx?doi=10.4018/978-1-5225-8176-5</t>
    <phoneticPr fontId="3" type="noConversion"/>
  </si>
  <si>
    <t>Handbook of Research on Big Data and the IoT</t>
  </si>
  <si>
    <t>Kaur, Gurjit</t>
  </si>
  <si>
    <t>http://services.igi-global.com/resolvedoi/resolve.aspx?doi=10.4018/978-1-5225-7432-3</t>
    <phoneticPr fontId="3" type="noConversion"/>
  </si>
  <si>
    <t>Detection and Mitigation of Insider Attacks in a Cloud Infrastructure: Emerging Research and Opportunities</t>
  </si>
  <si>
    <t>Gunasekhar, T.</t>
  </si>
  <si>
    <t>http://services.igi-global.com/resolvedoi/resolve.aspx?doi=10.4018/978-1-5225-7924-3</t>
    <phoneticPr fontId="3" type="noConversion"/>
  </si>
  <si>
    <t>Artificial Intelligence and Security Challenges in Emerging Networks</t>
  </si>
  <si>
    <t>Abassi, Ryma</t>
  </si>
  <si>
    <t>http://services.igi-global.com/resolvedoi/resolve.aspx?doi=10.4018/978-1-5225-7353-1</t>
    <phoneticPr fontId="3" type="noConversion"/>
  </si>
  <si>
    <t>Big Data and Knowledge Sharing in Virtual Organizations</t>
  </si>
  <si>
    <t>Gyamfi, Albert</t>
  </si>
  <si>
    <t>http://services.igi-global.com/resolvedoi/resolve.aspx?doi=10.4018/978-1-5225-7519-1</t>
    <phoneticPr fontId="3" type="noConversion"/>
  </si>
  <si>
    <t>Integrating the Internet of Things Into Software Engineering Practices</t>
  </si>
  <si>
    <t>Mala, D. Jeya</t>
  </si>
  <si>
    <t>http://services.igi-global.com/resolvedoi/resolve.aspx?doi=10.4018/978-1-5225-7790-4</t>
    <phoneticPr fontId="3" type="noConversion"/>
  </si>
  <si>
    <t>Optimizing Current Strategies and Applications in Industrial Engineering</t>
  </si>
  <si>
    <t>Sahoo, Prasanta</t>
  </si>
  <si>
    <t>http://services.igi-global.com/resolvedoi/resolve.aspx?doi=10.4018/978-1-5225-8223-6</t>
    <phoneticPr fontId="3" type="noConversion"/>
  </si>
  <si>
    <t>Cryptographic Security Solutions for the Internet of Things</t>
  </si>
  <si>
    <t>Banday, Mohammad Tariq</t>
  </si>
  <si>
    <t>http://services.igi-global.com/resolvedoi/resolve.aspx?doi=10.4018/978-1-5225-5742-5</t>
    <phoneticPr fontId="3" type="noConversion"/>
  </si>
  <si>
    <t>Process Analysis, Design, and Intensification in Microfluidics and Chemical Engineering</t>
  </si>
  <si>
    <t>Santana, Harrson Silva</t>
  </si>
  <si>
    <t>http://services.igi-global.com/resolvedoi/resolve.aspx?doi=10.4018/978-1-5225-7138-4</t>
    <phoneticPr fontId="3" type="noConversion"/>
  </si>
  <si>
    <t>Code Generation, Analysis Tools, and Testing for Quality</t>
  </si>
  <si>
    <t>de Queirós, Ricardo Alexandre Peixoto</t>
  </si>
  <si>
    <t>http://services.igi-global.com/resolvedoi/resolve.aspx?doi=10.4018/978-1-5225-7455-2</t>
    <phoneticPr fontId="3" type="noConversion"/>
  </si>
  <si>
    <t>Big Data Analytics in Traffic and Transportation Engineering: Emerging Research and Opportunities</t>
  </si>
  <si>
    <t>Moridpour, Sara</t>
  </si>
  <si>
    <t>http://services.igi-global.com/resolvedoi/resolve.aspx?doi=10.4018/978-1-5225-7943-4</t>
    <phoneticPr fontId="3" type="noConversion"/>
  </si>
  <si>
    <t>Global Virtual Enterprises in Cloud Computing Environments</t>
  </si>
  <si>
    <t>http://services.igi-global.com/resolvedoi/resolve.aspx?doi=10.4018/978-1-5225-3182-1</t>
    <phoneticPr fontId="3" type="noConversion"/>
  </si>
  <si>
    <t>Emerging Trends and Applications in Cognitive Computing</t>
  </si>
  <si>
    <t>http://services.igi-global.com/resolvedoi/resolve.aspx?doi=10.4018/978-1-5225-5793-7</t>
    <phoneticPr fontId="3" type="noConversion"/>
  </si>
  <si>
    <t>Predictive Intelligence Using Big Data and the Internet of Things</t>
  </si>
  <si>
    <t>Gupta, P.K.</t>
  </si>
  <si>
    <t>http://services.igi-global.com/resolvedoi/resolve.aspx?doi=10.4018/978-1-5225-6210-8</t>
    <phoneticPr fontId="3" type="noConversion"/>
  </si>
  <si>
    <t>Applications of Nanofluid Transportation and Heat Transfer Simulation</t>
  </si>
  <si>
    <t>Sheikholeslami, Mohsen</t>
  </si>
  <si>
    <t>http://services.igi-global.com/resolvedoi/resolve.aspx?doi=10.4018/978-1-5225-7595-5</t>
    <phoneticPr fontId="3" type="noConversion"/>
  </si>
  <si>
    <t>Constructing an Ethical Hacking Knowledge Base for Threat Awareness and Prevention</t>
  </si>
  <si>
    <t>Dhavale, Sunita Vikrant</t>
  </si>
  <si>
    <t>http://services.igi-global.com/resolvedoi/resolve.aspx?doi=10.4018/978-1-5225-7628-0</t>
    <phoneticPr fontId="3" type="noConversion"/>
  </si>
  <si>
    <t>Optimizing Big Data Management and Industrial Systems With Intelligent Techniques</t>
  </si>
  <si>
    <t>Öner, Sultan Ceren</t>
  </si>
  <si>
    <t>http://services.igi-global.com/resolvedoi/resolve.aspx?doi=10.4018/978-1-5225-5137-9</t>
    <phoneticPr fontId="3" type="noConversion"/>
  </si>
  <si>
    <t>Strategic Applications of Measurement Technologies and Instrumentation</t>
  </si>
  <si>
    <t>Palchoudhury, Soubantika</t>
  </si>
  <si>
    <t>http://services.igi-global.com/resolvedoi/resolve.aspx?doi=10.4018/978-1-5225-5406-6</t>
    <phoneticPr fontId="3" type="noConversion"/>
  </si>
  <si>
    <t>Advancing Consumer-Centric Fog Computing Architectures</t>
  </si>
  <si>
    <t>http://services.igi-global.com/resolvedoi/resolve.aspx?doi=10.4018/978-1-5225-7149-0</t>
    <phoneticPr fontId="3" type="noConversion"/>
  </si>
  <si>
    <t>Building Sustainability Through Environmental Education</t>
  </si>
  <si>
    <t>Wilson, Lynn A.</t>
  </si>
  <si>
    <t>http://services.igi-global.com/resolvedoi/resolve.aspx?doi=10.4018/978-1-5225-7727-0</t>
    <phoneticPr fontId="3" type="noConversion"/>
  </si>
  <si>
    <t>Big Data Processing With Hadoop</t>
  </si>
  <si>
    <t>Revathi, T.</t>
  </si>
  <si>
    <t>http://services.igi-global.com/resolvedoi/resolve.aspx?doi=10.4018/978-1-5225-3790-8</t>
    <phoneticPr fontId="3" type="noConversion"/>
  </si>
  <si>
    <t>Handbook of Research on Green Engineering Techniques for Modern Manufacturing</t>
  </si>
  <si>
    <t>Uthayakumar, M.</t>
  </si>
  <si>
    <t>http://services.igi-global.com/resolvedoi/resolve.aspx?doi=10.4018/978-1-5225-5445-5</t>
    <phoneticPr fontId="3" type="noConversion"/>
  </si>
  <si>
    <t>Mobile Network Forensics: Emerging Research and Opportunities</t>
  </si>
  <si>
    <t>Sharevski, Filipo</t>
  </si>
  <si>
    <t>http://services.igi-global.com/resolvedoi/resolve.aspx?doi=10.4018/978-1-5225-5855-2</t>
    <phoneticPr fontId="3" type="noConversion"/>
  </si>
  <si>
    <t>Optimization of Design for Better Structural Capacity</t>
  </si>
  <si>
    <t>Belgasmia, Mourad</t>
  </si>
  <si>
    <t>http://services.igi-global.com/resolvedoi/resolve.aspx?doi=10.4018/978-1-5225-7059-2</t>
    <phoneticPr fontId="3" type="noConversion"/>
  </si>
  <si>
    <t>New Perspectives on Information Systems Modeling and Design</t>
  </si>
  <si>
    <t>da Cruz, António Miguel Rosado</t>
  </si>
  <si>
    <t>http://services.igi-global.com/resolvedoi/resolve.aspx?doi=10.4018/978-1-5225-7271-8</t>
    <phoneticPr fontId="3" type="noConversion"/>
  </si>
  <si>
    <t>Reusable and Sustainable Building Materials in Modern Architecture</t>
  </si>
  <si>
    <t>http://services.igi-global.com/resolvedoi/resolve.aspx?doi=10.4018/978-1-5225-6995-4</t>
    <phoneticPr fontId="3" type="noConversion"/>
  </si>
  <si>
    <t>Advanced Metaheuristic Methods in Big Data Retrieval and Analytics</t>
  </si>
  <si>
    <t>Bouarara, Hadj Ahmed</t>
  </si>
  <si>
    <t>http://services.igi-global.com/resolvedoi/resolve.aspx?doi=10.4018/978-1-5225-7338-8</t>
    <phoneticPr fontId="3" type="noConversion"/>
  </si>
  <si>
    <t>Innovative Solutions and Applications of Web Services Technology</t>
  </si>
  <si>
    <t>http://services.igi-global.com/resolvedoi/resolve.aspx?doi=10.4018/978-1-5225-7268-8</t>
    <phoneticPr fontId="3" type="noConversion"/>
  </si>
  <si>
    <t>Advanced Methodologies and Technologies in Network Architecture, Mobile Computing, and Data Analytics</t>
  </si>
  <si>
    <t>紙本2冊</t>
    <phoneticPr fontId="3" type="noConversion"/>
  </si>
  <si>
    <t>http://services.igi-global.com/resolvedoi/resolve.aspx?doi=10.4018/978-1-5225-7598-6</t>
    <phoneticPr fontId="3" type="noConversion"/>
  </si>
  <si>
    <t>Emerging Innovations in Microwave and Antenna Engineering</t>
  </si>
  <si>
    <t>Zbitou, Jamal</t>
  </si>
  <si>
    <t>http://services.igi-global.com/resolvedoi/resolve.aspx?doi=10.4018/978-1-5225-7539-9</t>
    <phoneticPr fontId="3" type="noConversion"/>
  </si>
  <si>
    <t>Advanced Methodologies and Technologies in System Security, Information Privacy, and Forensics</t>
  </si>
  <si>
    <t>http://services.igi-global.com/resolvedoi/resolve.aspx?doi=10.4018/978-1-5225-7492-7</t>
    <phoneticPr fontId="3" type="noConversion"/>
  </si>
  <si>
    <t>Nature-Inspired Algorithms for Big Data Frameworks</t>
  </si>
  <si>
    <t>Banati, Hema</t>
  </si>
  <si>
    <t>http://services.igi-global.com/resolvedoi/resolve.aspx?doi=10.4018/978-1-5225-5852-1</t>
    <phoneticPr fontId="3" type="noConversion"/>
  </si>
  <si>
    <t>Advanced Methodologies and Technologies in Artificial Intelligence, Computer Simulation, and Human-Computer Interaction</t>
  </si>
  <si>
    <t>http://services.igi-global.com/resolvedoi/resolve.aspx?doi=10.4018/978-1-5225-7368-5</t>
    <phoneticPr fontId="3" type="noConversion"/>
  </si>
  <si>
    <t>Measuring Maturity in Complex Engineering Projects</t>
  </si>
  <si>
    <t>da Silva Neto, João Carlos Araújo</t>
  </si>
  <si>
    <t>http://services.igi-global.com/resolvedoi/resolve.aspx?doi=10.4018/978-1-5225-5864-4</t>
    <phoneticPr fontId="3" type="noConversion"/>
  </si>
  <si>
    <t>Novel Design and Applications of Robotics Technologies</t>
  </si>
  <si>
    <t>Zhang, Dan</t>
  </si>
  <si>
    <t>http://services.igi-global.com/resolvedoi/resolve.aspx?doi=10.4018/978-1-5225-5276-5</t>
    <phoneticPr fontId="3" type="noConversion"/>
  </si>
  <si>
    <t>Optimal Power Flow Using Evolutionary Algorithms</t>
  </si>
  <si>
    <t>Roy, Provas Kumar</t>
  </si>
  <si>
    <t>http://services.igi-global.com/resolvedoi/resolve.aspx?doi=10.4018/978-1-5225-6971-8</t>
    <phoneticPr fontId="3" type="noConversion"/>
  </si>
  <si>
    <t>Advanced Condition Monitoring and Fault Diagnosis of Electric Machines</t>
  </si>
  <si>
    <t>Irfan, Muhammad</t>
  </si>
  <si>
    <t>http://services.igi-global.com/resolvedoi/resolve.aspx?doi=10.4018/978-1-5225-6989-3</t>
    <phoneticPr fontId="3" type="noConversion"/>
  </si>
  <si>
    <t>E80 海洋工程</t>
  </si>
  <si>
    <t>Harnessing Marine Macroalgae for Industrial Purposes in an Australian Context: Emerging Research and Opportunities</t>
  </si>
  <si>
    <t>Roos, Göran</t>
  </si>
  <si>
    <t>http://services.igi-global.com/resolvedoi/resolve.aspx?doi=10.4018/978-1-5225-5577-3</t>
    <phoneticPr fontId="3" type="noConversion"/>
  </si>
  <si>
    <t>Extracting Knowledge From Opinion Mining</t>
  </si>
  <si>
    <t>Agrawal, Rashmi</t>
  </si>
  <si>
    <t>http://services.igi-global.com/resolvedoi/resolve.aspx?doi=10.4018/978-1-5225-6117-0</t>
    <phoneticPr fontId="3" type="noConversion"/>
  </si>
  <si>
    <t>Big Data Analytics for Smart and Connected Cities</t>
  </si>
  <si>
    <t>http://services.igi-global.com/resolvedoi/resolve.aspx?doi=10.4018/978-1-5225-6207-8</t>
    <phoneticPr fontId="3" type="noConversion"/>
  </si>
  <si>
    <t>Intelligent Innovations in Multimedia Data Engineering and Management</t>
  </si>
  <si>
    <t>http://services.igi-global.com/resolvedoi/resolve.aspx?doi=10.4018/978-1-5225-7107-0</t>
    <phoneticPr fontId="3" type="noConversion"/>
  </si>
  <si>
    <t>Advanced Methodologies and Technologies in Engineering and Environmental Science</t>
  </si>
  <si>
    <t>http://services.igi-global.com/resolvedoi/resolve.aspx?doi=10.4018/978-1-5225-7359-3</t>
    <phoneticPr fontId="3" type="noConversion"/>
  </si>
  <si>
    <t>The Rise of Fog Computing in the Digital Era</t>
  </si>
  <si>
    <t>http://services.igi-global.com/resolvedoi/resolve.aspx?doi=10.4018/978-1-5225-6070-8</t>
    <phoneticPr fontId="3" type="noConversion"/>
  </si>
  <si>
    <t>Transitioning Island Nations Into Sustainable Energy Hubs: Emerging Research and Opportunities</t>
  </si>
  <si>
    <t>Spataru, Catalina</t>
  </si>
  <si>
    <t>http://services.igi-global.com/resolvedoi/resolve.aspx?doi=10.4018/978-1-5225-6002-9</t>
    <phoneticPr fontId="3" type="noConversion"/>
  </si>
  <si>
    <t>Recent Challenges and Advances in Geotechnical Earthquake Engineering</t>
  </si>
  <si>
    <t>http://services.igi-global.com/resolvedoi/resolve.aspx?doi=10.4018/978-1-5225-6948-0</t>
    <phoneticPr fontId="3" type="noConversion"/>
  </si>
  <si>
    <t>Optoelectronics in Machine Vision-Based Theories and Applications</t>
  </si>
  <si>
    <t>Rivas-Lopez, Moises</t>
  </si>
  <si>
    <t>http://services.igi-global.com/resolvedoi/resolve.aspx?doi=10.4018/978-1-5225-5751-7</t>
    <phoneticPr fontId="3" type="noConversion"/>
  </si>
  <si>
    <t>Advanced Oxidation Processes (AOPs) in Water and Wastewater Treatment</t>
  </si>
  <si>
    <t>Aziz, Hamidi Abdul</t>
  </si>
  <si>
    <t>http://services.igi-global.com/resolvedoi/resolve.aspx?doi=10.4018/978-1-5225-5766-1</t>
    <phoneticPr fontId="3" type="noConversion"/>
  </si>
  <si>
    <t>The Geometry of Higher-Dimensional Polytopes</t>
  </si>
  <si>
    <t>Zhizhin, Gennadiy Vladimirovich</t>
  </si>
  <si>
    <t>http://services.igi-global.com/resolvedoi/resolve.aspx?doi=10.4018/978-1-5225-6968-8</t>
    <phoneticPr fontId="3" type="noConversion"/>
  </si>
  <si>
    <t>Algorithms, Methods, and Applications in Mobile Computing and Communications</t>
  </si>
  <si>
    <t>Waluyo, Agustinus Borgy</t>
  </si>
  <si>
    <t>http://services.igi-global.com/resolvedoi/resolve.aspx?doi=10.4018/978-1-5225-5693-0</t>
    <phoneticPr fontId="3" type="noConversion"/>
  </si>
  <si>
    <t>Advanced Treatment Techniques for Industrial Wastewater</t>
  </si>
  <si>
    <t>Hussain, Athar</t>
  </si>
  <si>
    <t>http://services.igi-global.com/resolvedoi/resolve.aspx?doi=10.4018/978-1-5225-5754-8</t>
    <phoneticPr fontId="3" type="noConversion"/>
  </si>
  <si>
    <t>Bioeconomical Solutions and Investments in Sustainable City Development</t>
  </si>
  <si>
    <t>Vargas-Hernández, José G.</t>
  </si>
  <si>
    <t>http://services.igi-global.com/resolvedoi/resolve.aspx?doi=10.4018/978-1-5225-7958-8</t>
    <phoneticPr fontId="3" type="noConversion"/>
  </si>
  <si>
    <t>Multi-Objective Stochastic Programming in Fuzzy Environments</t>
  </si>
  <si>
    <t>Biswas, Animesh</t>
  </si>
  <si>
    <t>http://services.igi-global.com/resolvedoi/resolve.aspx?doi=10.4018/978-1-5225-8301-1</t>
    <phoneticPr fontId="3" type="noConversion"/>
  </si>
  <si>
    <t>Handbook of Research on Cloud Computing and Big Data Applications in IoT</t>
  </si>
  <si>
    <t>Gupta, B.B.</t>
  </si>
  <si>
    <t>http://services.igi-global.com/resolvedoi/resolve.aspx?doi=10.4018/978-1-5225-8407-0</t>
    <phoneticPr fontId="3" type="noConversion"/>
  </si>
  <si>
    <t>Cognitive Computing in Technology-Enhanced Learning</t>
    <phoneticPr fontId="3" type="noConversion"/>
  </si>
  <si>
    <t>http://services.igi-global.com/resolvedoi/resolve.aspx?doi=10.4018/978-1-5225-9031-6</t>
    <phoneticPr fontId="3" type="noConversion"/>
  </si>
  <si>
    <t>Handbook of Research on the IoT, Cloud Computing, and Wireless Network Optimization</t>
    <phoneticPr fontId="3" type="noConversion"/>
  </si>
  <si>
    <t>Singh, Surjit</t>
  </si>
  <si>
    <t>http://services.igi-global.com/resolvedoi/resolve.aspx?doi=10.4018/978-1-5225-7335-7</t>
    <phoneticPr fontId="3" type="noConversion"/>
  </si>
  <si>
    <t>Smart Devices, Applications, and Protocols for the IoT</t>
  </si>
  <si>
    <t>http://services.igi-global.com/resolvedoi/resolve.aspx?doi=10.4018/978-1-5225-7811-6</t>
    <phoneticPr fontId="3" type="noConversion"/>
  </si>
  <si>
    <t>Handbook of Research on Deep Learning Innovations and Trends</t>
  </si>
  <si>
    <t>http://services.igi-global.com/resolvedoi/resolve.aspx?doi=10.4018/978-1-5225-7862-8</t>
    <phoneticPr fontId="3" type="noConversion"/>
  </si>
  <si>
    <t>Cyber-Physical Systems for Social Applications</t>
  </si>
  <si>
    <t>Dimitrova, Maya</t>
  </si>
  <si>
    <t>http://services.igi-global.com/resolvedoi/resolve.aspx?doi=10.4018/978-1-5225-7879-6</t>
    <phoneticPr fontId="3" type="noConversion"/>
  </si>
  <si>
    <t>Ambient Urbanities as the Intersection Between the IoT and the IoP in Smart Cities</t>
  </si>
  <si>
    <t>McKenna, H. Patrica</t>
  </si>
  <si>
    <t>http://services.igi-global.com/resolvedoi/resolve.aspx?doi=10.4018/978-1-5225-7882-6</t>
    <phoneticPr fontId="3" type="noConversion"/>
  </si>
  <si>
    <t>Spatial Planning in the Big Data Revolution</t>
  </si>
  <si>
    <t>Voghera, Angioletta</t>
  </si>
  <si>
    <t>http://services.igi-global.com/resolvedoi/resolve.aspx?doi=10.4018/978-1-5225-7927-4</t>
    <phoneticPr fontId="3" type="noConversion"/>
  </si>
  <si>
    <t>Computational Intelligence in the Internet of Things</t>
  </si>
  <si>
    <t>Purnomo, Hindriyanto Dwi</t>
  </si>
  <si>
    <t>http://services.igi-global.com/resolvedoi/resolve.aspx?doi=10.4018/978-1-5225-7955-7</t>
    <phoneticPr fontId="3" type="noConversion"/>
  </si>
  <si>
    <t>Applications of Image Processing and Soft Computing Systems in Agriculture</t>
  </si>
  <si>
    <t>Razmjooy, Navid</t>
  </si>
  <si>
    <t>http://services.igi-global.com/resolvedoi/resolve.aspx?doi=10.4018/978-1-5225-8027-0</t>
    <phoneticPr fontId="3" type="noConversion"/>
  </si>
  <si>
    <t>Multi-Criteria Decision-Making Models for Website Evaluation</t>
    <phoneticPr fontId="3" type="noConversion"/>
  </si>
  <si>
    <t>Vatansever, Kemal</t>
  </si>
  <si>
    <t>http://services.igi-global.com/resolvedoi/resolve.aspx?doi=10.4018/978-1-5225-8238-0</t>
    <phoneticPr fontId="3" type="noConversion"/>
  </si>
  <si>
    <t>Novel Practices and Trends in Grid and Cloud Computing</t>
  </si>
  <si>
    <t>http://services.igi-global.com/resolvedoi/resolve.aspx?doi=10.4018/978-1-5225-9023-1</t>
    <phoneticPr fontId="3" type="noConversion"/>
  </si>
  <si>
    <t>Ambient Intelligence Services in IoT Environments: Emerging Research and Opportunities</t>
  </si>
  <si>
    <t>http://services.igi-global.com/resolvedoi/resolve.aspx?doi=10.4018/978-1-5225-8973-0</t>
    <phoneticPr fontId="3" type="noConversion"/>
  </si>
  <si>
    <t>Cases on Immersive Virtual Reality Techniques</t>
  </si>
  <si>
    <t>Yang, Kenneth C. C.</t>
  </si>
  <si>
    <t>http://services.igi-global.com/resolvedoi/resolve.aspx?doi=10.4018/978-1-5225-5912-2</t>
    <phoneticPr fontId="3" type="noConversion"/>
  </si>
  <si>
    <t>Nanotechnology in Aerospace and Structural Mechanics</t>
  </si>
  <si>
    <t>http://services.igi-global.com/resolvedoi/resolve.aspx?doi=10.4018/978-1-5225-7921-2</t>
    <phoneticPr fontId="3" type="noConversion"/>
  </si>
  <si>
    <t>Driving the Development, Management, and Sustainability of Cognitive Cities</t>
  </si>
  <si>
    <t>Ahuja, Kiran</t>
  </si>
  <si>
    <t>http://services.igi-global.com/resolvedoi/resolve.aspx?doi=10.4018/978-1-5225-8085-0</t>
    <phoneticPr fontId="3" type="noConversion"/>
  </si>
  <si>
    <t>M20 永續發展研究</t>
  </si>
  <si>
    <t>Intellectual, Scientific, and Educational Influences on Sustainability Research</t>
  </si>
  <si>
    <t>Turvey, Rosario Adapon</t>
  </si>
  <si>
    <t>http://services.igi-global.com/resolvedoi/resolve.aspx?doi=10.4018/978-1-5225-7302-9</t>
    <phoneticPr fontId="3" type="noConversion"/>
  </si>
  <si>
    <t>Global Initiatives for Waste Reduction and Cutting Food Loss</t>
  </si>
  <si>
    <t>Gunjal, Aparna Baban</t>
  </si>
  <si>
    <t>http://services.igi-global.com/resolvedoi/resolve.aspx?doi=10.4018/978-1-5225-7706-5</t>
    <phoneticPr fontId="3" type="noConversion"/>
  </si>
  <si>
    <t>E07 食品工程</t>
  </si>
  <si>
    <t>Novel Technologies and Systems for Food Preservation</t>
  </si>
  <si>
    <t>Gaspar, Pedro Dinis</t>
  </si>
  <si>
    <t>http://services.igi-global.com/resolvedoi/resolve.aspx?doi=10.4018/978-1-5225-7894-9</t>
    <phoneticPr fontId="3" type="noConversion"/>
  </si>
  <si>
    <t>Handbook of Research on Smart Power System Operation and Control</t>
  </si>
  <si>
    <t>Alhelou, Hassan Haes</t>
  </si>
  <si>
    <t>http://services.igi-global.com/resolvedoi/resolve.aspx?doi=10.4018/978-1-5225-8030-0</t>
    <phoneticPr fontId="3" type="noConversion"/>
  </si>
  <si>
    <t>Recycled Waste Materials in Concrete Construction: Emerging Research and Opportunities</t>
  </si>
  <si>
    <t>Mirza, Jahangir</t>
  </si>
  <si>
    <t>http://services.igi-global.com/resolvedoi/resolve.aspx?doi=10.4018/978-1-5225-8325-7</t>
    <phoneticPr fontId="3" type="noConversion"/>
  </si>
  <si>
    <t>Cybersecurity Education for Awareness and Compliance</t>
  </si>
  <si>
    <t>Vasileiou, Ismini</t>
  </si>
  <si>
    <t>http://services.igi-global.com/resolvedoi/resolve.aspx?doi=10.4018/978-1-5225-7847-5</t>
    <phoneticPr fontId="3" type="noConversion"/>
  </si>
  <si>
    <t>Machine Learning and Cognitive Science Applications in Cyber Security</t>
  </si>
  <si>
    <t>Khan, Muhammad Salman</t>
  </si>
  <si>
    <t>http://services.igi-global.com/resolvedoi/resolve.aspx?doi=10.4018/978-1-5225-8100-0</t>
    <phoneticPr fontId="3" type="noConversion"/>
  </si>
  <si>
    <t>Countering Cyber Attacks and Preserving the Integrity and Availability of Critical Systems</t>
  </si>
  <si>
    <t>Geetha, S.</t>
  </si>
  <si>
    <t>http://services.igi-global.com/resolvedoi/resolve.aspx?doi=10.4018/978-1-5225-8241-0</t>
    <phoneticPr fontId="3" type="noConversion"/>
  </si>
  <si>
    <t>Developments in Information Security and Cybernetic Wars</t>
  </si>
  <si>
    <t>http://services.igi-global.com/resolvedoi/resolve.aspx?doi=10.4018/978-1-5225-8304-2</t>
    <phoneticPr fontId="3" type="noConversion"/>
  </si>
  <si>
    <t>Knowledge Management Techniques for Risk Management in IT Projects: Emerging Research and Opportunities</t>
  </si>
  <si>
    <t>Riaz, Muhammad Noman</t>
  </si>
  <si>
    <t>http://services.igi-global.com/resolvedoi/resolve.aspx?doi=10.4018/978-1-5225-8389-9</t>
    <phoneticPr fontId="3" type="noConversion"/>
  </si>
  <si>
    <t>Sales and Distribution Management for Organizational Growth</t>
    <phoneticPr fontId="3" type="noConversion"/>
  </si>
  <si>
    <t>Current Issues and Emerging Trends in Medical Tourism</t>
  </si>
  <si>
    <t>Cooper, Malcolm</t>
  </si>
  <si>
    <t>http://services.igi-global.com/resolvedoi/resolve.aspx?doi=10.4018/978-1-4666-8574-1</t>
    <phoneticPr fontId="3" type="noConversion"/>
  </si>
  <si>
    <t>Handbook of Research on Business Ethics and Corporate Responsibilities</t>
  </si>
  <si>
    <t>Palmer, Daniel E.</t>
  </si>
  <si>
    <t>http://services.igi-global.com/resolvedoi/resolve.aspx?doi=10.4018/978-1-4666-7476-9</t>
    <phoneticPr fontId="3" type="noConversion"/>
  </si>
  <si>
    <t>International Business Ethics and Growth Opportunities</t>
  </si>
  <si>
    <t>Wolf, Ruth</t>
  </si>
  <si>
    <t>http://services.igi-global.com/resolvedoi/resolve.aspx?doi=10.4018/978-1-4666-7419-6</t>
    <phoneticPr fontId="3" type="noConversion"/>
  </si>
  <si>
    <t>Hospitality, Travel, and Tourism: Concepts, Methodologies, Tools, and Applications</t>
  </si>
  <si>
    <t>http://services.igi-global.com/resolvedoi/resolve.aspx?doi=10.4018/978-1-4666-6543-9</t>
    <phoneticPr fontId="3" type="noConversion"/>
  </si>
  <si>
    <t>Handbook of Research on Managing and Influencing Consumer Behavior</t>
  </si>
  <si>
    <t>http://services.igi-global.com/resolvedoi/resolve.aspx?doi=10.4018/978-1-4666-6547-7</t>
    <phoneticPr fontId="3" type="noConversion"/>
  </si>
  <si>
    <t>Organizational Knowledge Facilitation through Communities of Practice in Emerging Markets</t>
  </si>
  <si>
    <t>Buckley, Sheryl</t>
  </si>
  <si>
    <t>http://services.igi-global.com/resolvedoi/resolve.aspx?doi=10.4018/978-1-5225-0013-1</t>
    <phoneticPr fontId="3" type="noConversion"/>
  </si>
  <si>
    <t>Handbook of Research on Media Literacy in the Digital Age</t>
  </si>
  <si>
    <t>Yildiz, Melda N.</t>
  </si>
  <si>
    <t>http://services.igi-global.com/resolvedoi/resolve.aspx?doi=10.4018/978-1-4666-9667-9</t>
    <phoneticPr fontId="3" type="noConversion"/>
  </si>
  <si>
    <t>Improving K-12 STEM Education Outcomes through Technological Integration</t>
  </si>
  <si>
    <t>Urban, Michael J.</t>
  </si>
  <si>
    <t>http://services.igi-global.com/resolvedoi/resolve.aspx?doi=10.4018/978-1-4666-9616-7</t>
    <phoneticPr fontId="3" type="noConversion"/>
  </si>
  <si>
    <t>Handbook of Research on Global Enterprise Operations and Opportunities</t>
  </si>
  <si>
    <t>http://services.igi-global.com/resolvedoi/resolve.aspx?doi=10.4018/978-1-5225-2245-4</t>
    <phoneticPr fontId="3" type="noConversion"/>
  </si>
  <si>
    <t>Information and Communication Overload in the Digital Age</t>
  </si>
  <si>
    <t>Marques, Rui Pedro Figueiredo</t>
  </si>
  <si>
    <t>http://services.igi-global.com/resolvedoi/resolve.aspx?doi=10.4018/978-1-5225-2061-0</t>
    <phoneticPr fontId="3" type="noConversion"/>
  </si>
  <si>
    <t>Diasporas and Transnational Entrepreneurship in Global Contexts</t>
  </si>
  <si>
    <t>Ojo, Sanya</t>
  </si>
  <si>
    <t>http://services.igi-global.com/resolvedoi/resolve.aspx?doi=10.4018/978-1-5225-1991-1</t>
    <phoneticPr fontId="3" type="noConversion"/>
  </si>
  <si>
    <t>Optimizing K-12 Education through Online and Blended Learning</t>
  </si>
  <si>
    <t>Ostashewski, Nathaniel</t>
  </si>
  <si>
    <t>http://services.igi-global.com/resolvedoi/resolve.aspx?doi=10.4018/978-1-5225-0507-5</t>
    <phoneticPr fontId="3" type="noConversion"/>
  </si>
  <si>
    <t>Comparative Perspectives on Civil Religion, Nationalism, and Political Influence</t>
  </si>
  <si>
    <t>Lewin, Eyal</t>
  </si>
  <si>
    <t>http://services.igi-global.com/resolvedoi/resolve.aspx?doi=10.4018/978-1-5225-0516-7</t>
    <phoneticPr fontId="3" type="noConversion"/>
  </si>
  <si>
    <t>Microfinance and Its Impact on Entrepreneurial Development, Sustainability, and Inclusive Growth</t>
  </si>
  <si>
    <t>http://services.igi-global.com/resolvedoi/resolve.aspx?doi=10.4018/978-1-5225-5213-0</t>
    <phoneticPr fontId="3" type="noConversion"/>
  </si>
  <si>
    <t>Handbook of Research on Cross-Cultural Business Education</t>
  </si>
  <si>
    <t>Maheshkar, Chandan</t>
  </si>
  <si>
    <t>http://services.igi-global.com/resolvedoi/resolve.aspx?doi=10.4018/978-1-5225-3776-2</t>
    <phoneticPr fontId="3" type="noConversion"/>
  </si>
  <si>
    <t>Handbook of Research on Student-Centered Strategies in Online Adult Learning Environments</t>
  </si>
  <si>
    <t>Fitzgerald, Carlton J.</t>
    <phoneticPr fontId="3" type="noConversion"/>
  </si>
  <si>
    <t>http://services.igi-global.com/resolvedoi/resolve.aspx?doi=10.4018/978-1-5225-5085-3</t>
    <phoneticPr fontId="3" type="noConversion"/>
  </si>
  <si>
    <t>Impact of Learning Analytics on Curriculum Design and Student Performance</t>
  </si>
  <si>
    <t>http://services.igi-global.com/resolvedoi/resolve.aspx?doi=10.4018/978-1-5225-5369-4</t>
    <phoneticPr fontId="3" type="noConversion"/>
  </si>
  <si>
    <t>Enhancing Education and Training Initiatives Through Serious Games</t>
  </si>
  <si>
    <t>Denholm, John</t>
  </si>
  <si>
    <t>http://services.igi-global.com/resolvedoi/resolve.aspx?doi=10.4018/978-1-5225-3689-5</t>
    <phoneticPr fontId="3" type="noConversion"/>
  </si>
  <si>
    <t>Visual Imagery, Metadata, and Multimodal Literacies Across the Curriculum</t>
  </si>
  <si>
    <t>August, Anita</t>
  </si>
  <si>
    <t>http://services.igi-global.com/resolvedoi/resolve.aspx?doi=10.4018/978-1-5225-2808-1</t>
    <phoneticPr fontId="3" type="noConversion"/>
  </si>
  <si>
    <t>Responsible, Sustainable, and Globally Aware Management in the Fourth Industrial Revolution</t>
  </si>
  <si>
    <t>http://services.igi-global.com/resolvedoi/resolve.aspx?doi=10.4018/978-1-5225-7638-9</t>
    <phoneticPr fontId="3" type="noConversion"/>
  </si>
  <si>
    <t>Global Considerations in Entrepreneurship Education and Training</t>
  </si>
  <si>
    <t>http://services.igi-global.com/resolvedoi/resolve.aspx?doi=10.4018/978-1-5225-7675-4</t>
    <phoneticPr fontId="3" type="noConversion"/>
  </si>
  <si>
    <t>International Financial Reporting Standards and New Directions in Earnings Management</t>
  </si>
  <si>
    <t>Oliveira, Jonas da Silva</t>
  </si>
  <si>
    <t>http://services.igi-global.com/resolvedoi/resolve.aspx?doi=10.4018/978-1-5225-7817-8</t>
    <phoneticPr fontId="3" type="noConversion"/>
  </si>
  <si>
    <t>Organizational Auditing and Assurance in the Digital Age</t>
  </si>
  <si>
    <t>Marques, Rui Pedro</t>
  </si>
  <si>
    <t>http://services.igi-global.com/resolvedoi/resolve.aspx?doi=10.4018/978-1-5225-7356-2</t>
    <phoneticPr fontId="3" type="noConversion"/>
  </si>
  <si>
    <t>Cases on Corporate Social Responsibility and Contemporary Issues in Organizations</t>
  </si>
  <si>
    <t>Antonaras, Alexandros</t>
  </si>
  <si>
    <t>http://services.igi-global.com/resolvedoi/resolve.aspx?doi=10.4018/978-1-5225-7715-7</t>
    <phoneticPr fontId="3" type="noConversion"/>
  </si>
  <si>
    <t>Management Techniques for Employee Engagement in Contemporary Organizations</t>
  </si>
  <si>
    <t>Sharma, Naman</t>
  </si>
  <si>
    <t>http://services.igi-global.com/resolvedoi/resolve.aspx?doi=10.4018/978-1-5225-7799-7</t>
    <phoneticPr fontId="3" type="noConversion"/>
  </si>
  <si>
    <t>Critical Issues Impacting Science, Technology, Society (STS) and Our Future</t>
  </si>
  <si>
    <t>Lum, Heather Christina</t>
  </si>
  <si>
    <t>http://services.igi-global.com/resolvedoi/resolve.aspx?doi=10.4018/978-1-5225-7949-6</t>
    <phoneticPr fontId="3" type="noConversion"/>
  </si>
  <si>
    <t>Handbook of Research on Critical Thinking Strategies in Pre-Service Learning Environments</t>
  </si>
  <si>
    <t>Mariano, Gina J.</t>
  </si>
  <si>
    <t>http://services.igi-global.com/resolvedoi/resolve.aspx?doi=10.4018/978-1-5225-7823-9</t>
    <phoneticPr fontId="3" type="noConversion"/>
  </si>
  <si>
    <t>Handbook of Research on Emerging Practices and Methods for K-12 Online and Blended Learning</t>
  </si>
  <si>
    <t>Heafner, Tina Lane</t>
  </si>
  <si>
    <t>http://services.igi-global.com/resolvedoi/resolve.aspx?doi=10.4018/978-1-5225-8009-6</t>
    <phoneticPr fontId="3" type="noConversion"/>
  </si>
  <si>
    <t>Global Diaspora Politics and Social Movements: Emerging Research and Opportunities</t>
  </si>
  <si>
    <t>Stacey, Emily B.</t>
  </si>
  <si>
    <t>http://services.igi-global.com/resolvedoi/resolve.aspx?doi=10.4018/978-1-5225-7757-7</t>
    <phoneticPr fontId="3" type="noConversion"/>
  </si>
  <si>
    <t>Handbook of Research on Business Models in Modern Competitive Scenarios</t>
  </si>
  <si>
    <t>http://services.igi-global.com/resolvedoi/resolve.aspx?doi=10.4018/978-1-5225-7265-7</t>
    <phoneticPr fontId="3" type="noConversion"/>
  </si>
  <si>
    <t>Tourism-Oriented Policing and Protective Services</t>
  </si>
  <si>
    <t>Tarlow, Peter E.</t>
  </si>
  <si>
    <t>http://services.igi-global.com/resolvedoi/resolve.aspx?doi=10.4018/978-1-5225-7579-5</t>
    <phoneticPr fontId="3" type="noConversion"/>
  </si>
  <si>
    <t>Sustainable Tourism: Breakthroughs in Research and Practice</t>
  </si>
  <si>
    <t>http://services.igi-global.com/resolvedoi/resolve.aspx?doi=10.4018/978-1-5225-7504-7</t>
    <phoneticPr fontId="3" type="noConversion"/>
  </si>
  <si>
    <t>Bayesian Networks for Managing Learner Models in Adaptive Hypermedia Systems: Emerging Research and Opportunities</t>
  </si>
  <si>
    <t>Tadlaoui, Mouenis Anouar</t>
  </si>
  <si>
    <t>http://services.igi-global.com/resolvedoi/resolve.aspx?doi=10.4018/978-1-5225-7413-2</t>
    <phoneticPr fontId="3" type="noConversion"/>
  </si>
  <si>
    <t>Handbook of Research on Examining Cultural Policies Through Digital Communication</t>
  </si>
  <si>
    <t>Dogan, Betül Önay</t>
  </si>
  <si>
    <t>http://services.igi-global.com/resolvedoi/resolve.aspx?doi=10.4018/978-1-5225-6998-5</t>
    <phoneticPr fontId="3" type="noConversion"/>
  </si>
  <si>
    <t>Conservation, Restoration, and Analysis of Architectural and Archaeological Heritage</t>
  </si>
  <si>
    <t>Inglese, Carlo</t>
  </si>
  <si>
    <t>http://services.igi-global.com/resolvedoi/resolve.aspx?doi=10.4018/978-1-5225-7555-9</t>
    <phoneticPr fontId="3" type="noConversion"/>
  </si>
  <si>
    <t>Conservation and Promotion of Heritage Tourism</t>
  </si>
  <si>
    <t>Srivastava, Surabhi</t>
  </si>
  <si>
    <t>http://services.igi-global.com/resolvedoi/resolve.aspx?doi=10.4018/978-1-5225-6283-2</t>
    <phoneticPr fontId="3" type="noConversion"/>
  </si>
  <si>
    <t>Analytical Frameworks, Applications, and Impacts of ICT and Actor-Network Theory</t>
  </si>
  <si>
    <t>http://services.igi-global.com/resolvedoi/resolve.aspx?doi=10.4018/978-1-5225-7027-1</t>
    <phoneticPr fontId="3" type="noConversion"/>
  </si>
  <si>
    <t>The Role of Language and Symbols in Promotional Strategies and Marketing Schemes</t>
  </si>
  <si>
    <t>Epure, Manuela</t>
  </si>
  <si>
    <t>http://services.igi-global.com/resolvedoi/resolve.aspx?doi=10.4018/978-1-5225-5778-4</t>
    <phoneticPr fontId="3" type="noConversion"/>
  </si>
  <si>
    <t>Handbook of Research on E-Assessment in Higher Education</t>
  </si>
  <si>
    <t>http://services.igi-global.com/resolvedoi/resolve.aspx?doi=10.4018/978-1-5225-5936-8</t>
    <phoneticPr fontId="3" type="noConversion"/>
  </si>
  <si>
    <t>Scientific Concepts Behind Happiness, Kindness, and Empathy in Contemporary Society</t>
  </si>
  <si>
    <t>http://services.igi-global.com/resolvedoi/resolve.aspx?doi=10.4018/978-1-5225-5918-4</t>
    <phoneticPr fontId="3" type="noConversion"/>
  </si>
  <si>
    <t>Qualitative Techniques for Workplace Data Analysis</t>
  </si>
  <si>
    <t>http://services.igi-global.com/resolvedoi/resolve.aspx?doi=10.4018/978-1-5225-5366-3</t>
    <phoneticPr fontId="3" type="noConversion"/>
  </si>
  <si>
    <t>Breaking Down Language and Cultural Barriers Through Contemporary Global Marketing Strategies</t>
  </si>
  <si>
    <t>http://services.igi-global.com/resolvedoi/resolve.aspx?doi=10.4018/978-1-5225-6980-0</t>
    <phoneticPr fontId="3" type="noConversion"/>
  </si>
  <si>
    <t>Agile Approaches for Successfully Managing and Executing Projects in the Fourth Industrial Revolution</t>
  </si>
  <si>
    <t>Bolat, Hür Bersam</t>
  </si>
  <si>
    <t>http://services.igi-global.com/resolvedoi/resolve.aspx?doi=10.4018/978-1-5225-7865-9</t>
    <phoneticPr fontId="3" type="noConversion"/>
  </si>
  <si>
    <t>Behavioral Finance and Decision-Making Models</t>
  </si>
  <si>
    <t>Tripathi, Tripti</t>
  </si>
  <si>
    <t>http://services.igi-global.com/resolvedoi/resolve.aspx?doi=10.4018/978-1-5225-7399-9</t>
    <phoneticPr fontId="3" type="noConversion"/>
  </si>
  <si>
    <t>Educational Technology and Resources for Synchronous Learning in Higher Education</t>
  </si>
  <si>
    <t>Yoon, Jiyoon</t>
  </si>
  <si>
    <t>http://services.igi-global.com/resolvedoi/resolve.aspx?doi=10.4018/978-1-5225-7567-2</t>
    <phoneticPr fontId="3" type="noConversion"/>
  </si>
  <si>
    <t>Self-Directed Learning Strategies in Adult Educational Contexts</t>
  </si>
  <si>
    <t>Giuseffi, Francesco G.</t>
  </si>
  <si>
    <t>http://services.igi-global.com/resolvedoi/resolve.aspx?doi=10.4018/978-1-5225-8018-8</t>
    <phoneticPr fontId="3" type="noConversion"/>
  </si>
  <si>
    <t>Multimodal Narratives in Research and Teaching Practices</t>
  </si>
  <si>
    <t>Lopes, J. Bernardino</t>
  </si>
  <si>
    <t>http://services.igi-global.com/resolvedoi/resolve.aspx?doi=10.4018/978-1-5225-8570-1</t>
    <phoneticPr fontId="3" type="noConversion"/>
  </si>
  <si>
    <t>Servant Leadership Styles and Strategic Decision Making</t>
  </si>
  <si>
    <t>Mughal, Yasir Hayat</t>
  </si>
  <si>
    <t>http://services.igi-global.com/resolvedoi/resolve.aspx?doi=10.4018/978-1-5225-4996-3</t>
    <phoneticPr fontId="3" type="noConversion"/>
  </si>
  <si>
    <t>Myth in Modern Media Management and Marketing</t>
  </si>
  <si>
    <t>Kreft, Jan</t>
  </si>
  <si>
    <t>http://services.igi-global.com/resolvedoi/resolve.aspx?doi=10.4018/978-1-5225-9100-9</t>
    <phoneticPr fontId="3" type="noConversion"/>
  </si>
  <si>
    <t>Student Support Toward Self-Directed Learning in Open and Distributed Environments</t>
  </si>
  <si>
    <t>Wyk, Micheal M. van</t>
  </si>
  <si>
    <t>http://services.igi-global.com/resolvedoi/resolve.aspx?doi=10.4018/978-1-5225-9316-4</t>
    <phoneticPr fontId="3" type="noConversion"/>
  </si>
  <si>
    <t>Emerging Technologies in Virtual Learning Environments</t>
  </si>
  <si>
    <t>Becnel, Kim</t>
  </si>
  <si>
    <t>http://services.igi-global.com/resolvedoi/resolve.aspx?doi=10.4018/978-1-5225-7987-8</t>
    <phoneticPr fontId="3" type="noConversion"/>
  </si>
  <si>
    <t>Industry 4.0 and Hyper-Customized Smart Manufacturing Supply Chains</t>
  </si>
  <si>
    <t>Ponnambalam, S.G.</t>
  </si>
  <si>
    <t>http://services.igi-global.com/resolvedoi/resolve.aspx?doi=10.4018/978-1-5225-9078-1</t>
    <phoneticPr fontId="3" type="noConversion"/>
  </si>
  <si>
    <t>Handbook of Research on Media Literacy Research and Applications Across Disciplines</t>
  </si>
  <si>
    <t>http://services.igi-global.com/resolvedoi/resolve.aspx?doi=10.4018/978-1-5225-9261-7</t>
    <phoneticPr fontId="3" type="noConversion"/>
  </si>
  <si>
    <t>Cases on Global Leadership in the Contemporary Economy</t>
  </si>
  <si>
    <t>Chirino-Klevans, Ivonne</t>
  </si>
  <si>
    <t>http://services.igi-global.com/resolvedoi/resolve.aspx?doi=10.4018/978-1-5225-8088-1</t>
    <phoneticPr fontId="3" type="noConversion"/>
  </si>
  <si>
    <t>Building STEM Skills Through Environmental Education</t>
  </si>
  <si>
    <t>Schroth, Stephen T.</t>
    <phoneticPr fontId="3" type="noConversion"/>
  </si>
  <si>
    <t>http://services.igi-global.com/resolvedoi/resolve.aspx?doi=10.4018/978-1-7998-2711-5</t>
    <phoneticPr fontId="3" type="noConversion"/>
  </si>
  <si>
    <t>#MeToo Issues in Religious-Based Institutions and Organizations</t>
  </si>
  <si>
    <t>Glimps, Blanche J.</t>
  </si>
  <si>
    <t>http://services.igi-global.com/resolvedoi/resolve.aspx?doi=10.4018/978-1-5225-9195-5</t>
    <phoneticPr fontId="3" type="noConversion"/>
  </si>
  <si>
    <t>Gender and Diversity Representation in Mass Media</t>
  </si>
  <si>
    <t>Sarı, Gülşah</t>
  </si>
  <si>
    <t>http://services.igi-global.com/resolvedoi/resolve.aspx?doi=10.4018/978-1-7998-0128-3</t>
    <phoneticPr fontId="3" type="noConversion"/>
  </si>
  <si>
    <t>Management Accounting Standards for Sustainable Business Practices</t>
  </si>
  <si>
    <t>http://services.igi-global.com/resolvedoi/resolve.aspx?doi=10.4018/978-1-7998-0178-8</t>
    <phoneticPr fontId="3" type="noConversion"/>
  </si>
  <si>
    <t>Strategies and Tools for Managing Connected Consumers</t>
  </si>
  <si>
    <t>Ho, Ree C.</t>
  </si>
  <si>
    <t>http://services.igi-global.com/resolvedoi/resolve.aspx?doi=10.4018/978-1-5225-9697-4</t>
    <phoneticPr fontId="3" type="noConversion"/>
  </si>
  <si>
    <t>Leveraging Digital Innovation for Governance, Public Administration, and Citizen Services: Emerging Research and Opportunities</t>
  </si>
  <si>
    <t>Mali, Nidhi Vij</t>
  </si>
  <si>
    <t>http://services.igi-global.com/resolvedoi/resolve.aspx?doi=10.4018/978-1-5225-5412-7</t>
    <phoneticPr fontId="3" type="noConversion"/>
  </si>
  <si>
    <t>Corporate Governance Models and Applications in Developing Economies</t>
  </si>
  <si>
    <t>Agyemang, Otuo Serebour</t>
  </si>
  <si>
    <t>http://services.igi-global.com/resolvedoi/resolve.aspx?doi=10.4018/978-1-5225-9607-3</t>
    <phoneticPr fontId="3" type="noConversion"/>
  </si>
  <si>
    <t>Digital Marketing Strategies for Tourism, Hospitality, and Airline Industries</t>
  </si>
  <si>
    <t>Santos, José Duarte</t>
  </si>
  <si>
    <t>http://services.igi-global.com/resolvedoi/resolve.aspx?doi=10.4018/978-1-5225-9783-4</t>
    <phoneticPr fontId="3" type="noConversion"/>
  </si>
  <si>
    <t>Cases on Cross-Cultural Counseling Strategies</t>
  </si>
  <si>
    <t>King, Bonnie C.</t>
  </si>
  <si>
    <t>http://services.igi-global.com/resolvedoi/resolve.aspx?doi=10.4018/978-1-7998-0022-4</t>
    <phoneticPr fontId="3" type="noConversion"/>
  </si>
  <si>
    <t>New Media and Visual Communication in Social Networks</t>
  </si>
  <si>
    <t>Kır, Serpil</t>
  </si>
  <si>
    <t>http://services.igi-global.com/resolvedoi/resolve.aspx?doi=10.4018/978-1-7998-1041-4</t>
    <phoneticPr fontId="3" type="noConversion"/>
  </si>
  <si>
    <t>Developmental Challenges and Societal Issues for Individuals With Intellectual Disabilities</t>
  </si>
  <si>
    <t>http://services.igi-global.com/resolvedoi/resolve.aspx?doi=10.4018/978-1-7998-1223-4</t>
    <phoneticPr fontId="3" type="noConversion"/>
  </si>
  <si>
    <t>Improving Marketing Strategies for Private Label Products</t>
  </si>
  <si>
    <t>Arslan, Yusuf</t>
  </si>
  <si>
    <t>http://services.igi-global.com/resolvedoi/resolve.aspx?doi=10.4018/978-1-7998-0257-0</t>
    <phoneticPr fontId="3" type="noConversion"/>
  </si>
  <si>
    <t>Transforming Businesses With Bitcoin Mining and Blockchain Applications</t>
  </si>
  <si>
    <t>Rajput, Dharmendra Singh</t>
  </si>
  <si>
    <t>http://services.igi-global.com/resolvedoi/resolve.aspx?doi=10.4018/978-1-7998-0186-3</t>
    <phoneticPr fontId="3" type="noConversion"/>
  </si>
  <si>
    <t>Addressing Multicultural Needs in School Guidance and Counseling</t>
  </si>
  <si>
    <t>Taukeni, Simon George</t>
  </si>
  <si>
    <t>http://services.igi-global.com/resolvedoi/resolve.aspx?doi=10.4018/978-1-7998-0319-5</t>
    <phoneticPr fontId="3" type="noConversion"/>
  </si>
  <si>
    <t>Handbook of Research on Digital Learning</t>
  </si>
  <si>
    <t>Montebello, Matthew</t>
  </si>
  <si>
    <t>http://services.igi-global.com/resolvedoi/resolve.aspx?doi=10.4018/978-1-5225-9304-1</t>
    <phoneticPr fontId="3" type="noConversion"/>
  </si>
  <si>
    <t>Indigenous Studies: Breakthroughs in Research and Practice</t>
  </si>
  <si>
    <t>http://services.igi-global.com/resolvedoi/resolve.aspx?doi=10.4018/978-1-7998-0423-9</t>
    <phoneticPr fontId="3" type="noConversion"/>
  </si>
  <si>
    <t>Localizing Global Marketing Strategies: Emerging Research and Opportunities</t>
  </si>
  <si>
    <t>Harvey, Janell NaKia</t>
  </si>
  <si>
    <t>http://services.igi-global.com/resolvedoi/resolve.aspx?doi=10.4018/978-1-7998-0957-9</t>
    <phoneticPr fontId="3" type="noConversion"/>
  </si>
  <si>
    <t>Building Equitable Access to Knowledge Through Open Access Repositories</t>
  </si>
  <si>
    <t>Koutras, Nikos</t>
  </si>
  <si>
    <t>http://services.igi-global.com/resolvedoi/resolve.aspx?doi=10.4018/978-1-7998-1131-2</t>
    <phoneticPr fontId="3" type="noConversion"/>
  </si>
  <si>
    <t>Ecotourism and Community Intervention: Emerging Research and Opportunities</t>
  </si>
  <si>
    <t>Vinodan, A.</t>
  </si>
  <si>
    <t>http://services.igi-global.com/resolvedoi/resolve.aspx?doi=10.4018/978-1-7998-1635-5</t>
    <phoneticPr fontId="3" type="noConversion"/>
  </si>
  <si>
    <t>Using Narrative Writing to Enhance Healing</t>
  </si>
  <si>
    <t>http://services.igi-global.com/resolvedoi/resolve.aspx?doi=10.4018/978-1-7998-1931-8</t>
    <phoneticPr fontId="3" type="noConversion"/>
  </si>
  <si>
    <t>Handbook of Research on Creating Sustainable Value in the Global Economy</t>
  </si>
  <si>
    <t>http://services.igi-global.com/resolvedoi/resolve.aspx?doi=10.4018/978-1-7998-1196-1</t>
    <phoneticPr fontId="3" type="noConversion"/>
  </si>
  <si>
    <t>Handbook of Research on Literacy and Digital Technology Integration in Teacher Education</t>
  </si>
  <si>
    <t>http://services.igi-global.com/resolvedoi/resolve.aspx?doi=10.4018/978-1-7998-1461-0</t>
    <phoneticPr fontId="3" type="noConversion"/>
  </si>
  <si>
    <t>Global Developments in Healthcare and Medical Tourism</t>
  </si>
  <si>
    <t>Paul, Sudip</t>
  </si>
  <si>
    <t>http://services.igi-global.com/resolvedoi/resolve.aspx?doi=10.4018/978-1-5225-9787-2</t>
    <phoneticPr fontId="3" type="noConversion"/>
  </si>
  <si>
    <t>Leadership Styles, Innovation, and Social Entrepreneurship in the Era of Digitalization</t>
  </si>
  <si>
    <t>http://services.igi-global.com/resolvedoi/resolve.aspx?doi=10.4018/978-1-7998-1108-4</t>
    <phoneticPr fontId="3" type="noConversion"/>
  </si>
  <si>
    <t>Blockchain Technology Applications in Education</t>
  </si>
  <si>
    <t>Sharma, Ramesh Chander</t>
    <phoneticPr fontId="3" type="noConversion"/>
  </si>
  <si>
    <t>http://services.igi-global.com/resolvedoi/resolve.aspx?doi=10.4018/978-1-5225-9478-9</t>
    <phoneticPr fontId="3" type="noConversion"/>
  </si>
  <si>
    <t>Mobile Learning Applications in Early Childhood Education</t>
  </si>
  <si>
    <t>Papadakis, Stamatios</t>
  </si>
  <si>
    <t>http://services.igi-global.com/resolvedoi/resolve.aspx?doi=10.4018/978-1-7998-1486-3</t>
    <phoneticPr fontId="3" type="noConversion"/>
  </si>
  <si>
    <t>Managing, Marketing, and Maintaining Maritime and Coastal Tourism</t>
  </si>
  <si>
    <t>Brito, Mónica Morais de</t>
  </si>
  <si>
    <t>http://services.igi-global.com/resolvedoi/resolve.aspx?doi=10.4018/978-1-7998-1522-8</t>
    <phoneticPr fontId="3" type="noConversion"/>
  </si>
  <si>
    <t>Wealth Creation and Poverty Reduction: Breakthroughs in Research and Practice</t>
  </si>
  <si>
    <t>http://services.igi-global.com/resolvedoi/resolve.aspx?doi=10.4018/978-1-7998-1207-4</t>
    <phoneticPr fontId="3" type="noConversion"/>
  </si>
  <si>
    <t>Accessibility and Diversity in Education: Breakthroughs in Research and Practice</t>
  </si>
  <si>
    <t>http://services.igi-global.com/resolvedoi/resolve.aspx?doi=10.4018/978-1-7998-1213-5</t>
    <phoneticPr fontId="3" type="noConversion"/>
  </si>
  <si>
    <t>Handbook of Research on the Global Impacts and Roles of Immersive Media</t>
  </si>
  <si>
    <t>Morie, Jacquelyn Ford</t>
  </si>
  <si>
    <t>http://services.igi-global.com/resolvedoi/resolve.aspx?doi=10.4018/978-1-7998-2433-6</t>
    <phoneticPr fontId="3" type="noConversion"/>
  </si>
  <si>
    <t>New Trends and Opportunities for Central and Eastern European Tourism</t>
  </si>
  <si>
    <t>Nistoreanu, Puiu</t>
  </si>
  <si>
    <t>http://services.igi-global.com/resolvedoi/resolve.aspx?doi=10.4018/978-1-7998-1423-8</t>
    <phoneticPr fontId="3" type="noConversion"/>
  </si>
  <si>
    <t>Special Education Design and Development Tools for School Rehabilitation Professionals</t>
  </si>
  <si>
    <t>Singh, Ajay</t>
  </si>
  <si>
    <t>http://services.igi-global.com/resolvedoi/resolve.aspx?doi=10.4018/978-1-7998-1431-3</t>
    <phoneticPr fontId="3" type="noConversion"/>
  </si>
  <si>
    <t>Personalization and Collaboration in Adaptive E-Learning</t>
  </si>
  <si>
    <t>http://services.igi-global.com/resolvedoi/resolve.aspx?doi=10.4018/978-1-7998-1492-4</t>
    <phoneticPr fontId="3" type="noConversion"/>
  </si>
  <si>
    <t>Organizational Behavior Challenges in the Tourism Industry</t>
  </si>
  <si>
    <t>Aydin, Şule</t>
  </si>
  <si>
    <t>http://services.igi-global.com/resolvedoi/resolve.aspx?doi=10.4018/978-1-7998-1474-0</t>
    <phoneticPr fontId="3" type="noConversion"/>
  </si>
  <si>
    <t>Regional Trade and Development Strategies in the Era of Globalization</t>
  </si>
  <si>
    <t>Prabhakar, Akhilesh Chandra</t>
  </si>
  <si>
    <t>http://services.igi-global.com/resolvedoi/resolve.aspx?doi=10.4018/978-1-7998-1730-7</t>
    <phoneticPr fontId="3" type="noConversion"/>
  </si>
  <si>
    <t>Intellectual Property Rights and the Protection of Traditional Knowledge</t>
  </si>
  <si>
    <t>Dewani, Nisha Dhanraj</t>
  </si>
  <si>
    <t>http://services.igi-global.com/resolvedoi/resolve.aspx?doi=10.4018/978-1-7998-1835-9</t>
    <phoneticPr fontId="3" type="noConversion"/>
  </si>
  <si>
    <t>Algorithms for Solving Financial Portfolio Design Problems: Emerging Research and Opportunities</t>
  </si>
  <si>
    <t>Lebbah, Fatima Zohra</t>
  </si>
  <si>
    <t>http://services.igi-global.com/resolvedoi/resolve.aspx?doi=10.4018/978-1-7998-1882-3</t>
    <phoneticPr fontId="3" type="noConversion"/>
  </si>
  <si>
    <t>Handbook of Research on Social Media Applications for the Tourism and Hospitality Sector</t>
  </si>
  <si>
    <t>Ramos, Célia M.Q.</t>
  </si>
  <si>
    <t>http://services.igi-global.com/resolvedoi/resolve.aspx?doi=10.4018/978-1-7998-1947-9</t>
    <phoneticPr fontId="3" type="noConversion"/>
  </si>
  <si>
    <t>Handbook of Research on Approaches to Alternative Entrepreneurship Opportunities</t>
  </si>
  <si>
    <t>Dantas, José Guilherme Leitão</t>
  </si>
  <si>
    <t>http://services.igi-global.com/resolvedoi/resolve.aspx?doi=10.4018/978-1-7998-1981-3</t>
    <phoneticPr fontId="3" type="noConversion"/>
  </si>
  <si>
    <t>Global Opportunities and Challenges for Rural and Mountain Tourism</t>
  </si>
  <si>
    <t>Kala, Devkant</t>
  </si>
  <si>
    <t>http://services.igi-global.com/resolvedoi/resolve.aspx?doi=10.4018/978-1-7998-1302-6</t>
    <phoneticPr fontId="3" type="noConversion"/>
  </si>
  <si>
    <t>Transforming Music Education in P-12 Schools and the Community</t>
  </si>
  <si>
    <t>Akutsu, Taichi</t>
  </si>
  <si>
    <t>http://services.igi-global.com/resolvedoi/resolve.aspx?doi=10.4018/978-1-7998-2063-5</t>
    <phoneticPr fontId="3" type="noConversion"/>
  </si>
  <si>
    <t>Handbook of Research on Smart Technology Applications in the Tourism Industry</t>
  </si>
  <si>
    <t>Çeltek, Evrim</t>
  </si>
  <si>
    <t>http://services.igi-global.com/resolvedoi/resolve.aspx?doi=10.4018/978-1-7998-1989-9</t>
    <phoneticPr fontId="3" type="noConversion"/>
  </si>
  <si>
    <t>Recent Advances and Applications in Alternative Investments</t>
  </si>
  <si>
    <t>http://services.igi-global.com/resolvedoi/resolve.aspx?doi=10.4018/978-1-7998-2436-7</t>
    <phoneticPr fontId="3" type="noConversion"/>
  </si>
  <si>
    <t>Industrial and Managerial Solutions for Tourism Enterprises</t>
  </si>
  <si>
    <t>Akbaba, Atilla</t>
  </si>
  <si>
    <t>http://services.igi-global.com/resolvedoi/resolve.aspx?doi=10.4018/978-1-7998-3030-6</t>
    <phoneticPr fontId="3" type="noConversion"/>
  </si>
  <si>
    <t>Emerging Tools and Strategies for Financial Management</t>
  </si>
  <si>
    <t>Álvarez-García, Begoña</t>
  </si>
  <si>
    <t>http://services.igi-global.com/resolvedoi/resolve.aspx?doi=10.4018/978-1-7998-2440-4</t>
    <phoneticPr fontId="3" type="noConversion"/>
  </si>
  <si>
    <t>Handbook of Research on Accounting and Financial Studies</t>
  </si>
  <si>
    <t>Farinha, Luís</t>
  </si>
  <si>
    <t>http://services.igi-global.com/resolvedoi/resolve.aspx?doi=10.4018/978-1-7998-2136-6</t>
    <phoneticPr fontId="3" type="noConversion"/>
  </si>
  <si>
    <t>Global Entrepreneurial Trends in the Tourism and Hospitality Industry</t>
  </si>
  <si>
    <t>http://services.igi-global.com/resolvedoi/resolve.aspx?doi=10.4018/978-1-7998-2603-3</t>
    <phoneticPr fontId="3" type="noConversion"/>
  </si>
  <si>
    <t>Contemporary Management Approaches to the Global Hospitality and Tourism Industry</t>
  </si>
  <si>
    <t>Pius, Abraham</t>
  </si>
  <si>
    <t>http://services.igi-global.com/resolvedoi/resolve.aspx?doi=10.4018/978-1-7998-2204-2</t>
    <phoneticPr fontId="3" type="noConversion"/>
  </si>
  <si>
    <t>Indigenous Language Acquisition, Maintenance, and Loss and Current Language Policies</t>
  </si>
  <si>
    <t>Okamura, Toru</t>
  </si>
  <si>
    <t>http://services.igi-global.com/resolvedoi/resolve.aspx?doi=10.4018/978-1-7998-2959-1</t>
    <phoneticPr fontId="3" type="noConversion"/>
  </si>
  <si>
    <t>Digital Marketing Strategies and Models for Competitive Business</t>
  </si>
  <si>
    <t>Pinto, Filipe Mota</t>
  </si>
  <si>
    <t>http://services.igi-global.com/resolvedoi/resolve.aspx?doi=10.4018/978-1-7998-2963-8</t>
    <phoneticPr fontId="3" type="noConversion"/>
  </si>
  <si>
    <t>Accelerating Knowledge Sharing, Creativity, and Innovation Through Business Tourism</t>
  </si>
  <si>
    <t>Bari, Muhammad Waseem</t>
  </si>
  <si>
    <t>http://services.igi-global.com/resolvedoi/resolve.aspx?doi=10.4018/978-1-7998-3142-6</t>
    <phoneticPr fontId="3" type="noConversion"/>
  </si>
  <si>
    <t>Reshaping Social Policy to Combat Poverty and Inequality</t>
  </si>
  <si>
    <t>Eneanya, Augustine Nduka</t>
  </si>
  <si>
    <t>http://services.igi-global.com/resolvedoi/resolve.aspx?doi=10.4018/978-1-7998-0969-2</t>
    <phoneticPr fontId="3" type="noConversion"/>
  </si>
  <si>
    <t>Handbook of Research on Online Discussion-Based Teaching Methods</t>
  </si>
  <si>
    <t>Wilton, Lesley</t>
  </si>
  <si>
    <t>http://services.igi-global.com/resolvedoi/resolve.aspx?doi=10.4018/978-1-7998-3292-8</t>
    <phoneticPr fontId="3" type="noConversion"/>
  </si>
  <si>
    <t>Young Adult Sexuality in the Digital Age</t>
  </si>
  <si>
    <t>Kalish, Rachel</t>
  </si>
  <si>
    <t>http://services.igi-global.com/resolvedoi/resolve.aspx?doi=10.4018/978-1-7998-3187-7</t>
    <phoneticPr fontId="3" type="noConversion"/>
  </si>
  <si>
    <t>Big Data Applications for Improving Library Services</t>
  </si>
  <si>
    <t>Dhamdhere, Sangeeta Namdev</t>
  </si>
  <si>
    <t>http://services.igi-global.com/resolvedoi/resolve.aspx?doi=10.4018/978-1-7998-3049-8</t>
    <phoneticPr fontId="3" type="noConversion"/>
  </si>
  <si>
    <t>Innovative Strategies for Implementing FinTech in Banking</t>
  </si>
  <si>
    <t>Albastaki, Yousif Abdullatif</t>
  </si>
  <si>
    <t>http://services.igi-global.com/resolvedoi/resolve.aspx?doi=10.4018/978-1-7998-3257-7</t>
    <phoneticPr fontId="3" type="noConversion"/>
  </si>
  <si>
    <t>Global Issues and Innovative Solutions in Healthcare, Culture, and the Environment</t>
  </si>
  <si>
    <t>Merviö, Mika</t>
  </si>
  <si>
    <t>http://services.igi-global.com/resolvedoi/resolve.aspx?doi=10.4018/978-1-7998-3576-9</t>
    <phoneticPr fontId="3" type="noConversion"/>
  </si>
  <si>
    <t>Digital Government and Achieving E-Public Participation: Emerging Research and Opportunities</t>
  </si>
  <si>
    <t>Bolívar, Manuel Pedro Rodríguez</t>
  </si>
  <si>
    <t>http://services.igi-global.com/resolvedoi/resolve.aspx?doi=10.4018/978-1-7998-1526-6</t>
    <phoneticPr fontId="3" type="noConversion"/>
  </si>
  <si>
    <t>Handbook of Research on the Impacts, Challenges, and Policy Responses to Overtourism</t>
    <phoneticPr fontId="3" type="noConversion"/>
  </si>
  <si>
    <t>Almeida, Cláudia Ribeiro de</t>
    <phoneticPr fontId="3" type="noConversion"/>
  </si>
  <si>
    <t>Business Science Reference</t>
    <phoneticPr fontId="3" type="noConversion"/>
  </si>
  <si>
    <t>http://services.igi-global.com/resolvedoi/resolve.aspx?doi=10.4018/978-1-7998-2224-0</t>
    <phoneticPr fontId="3" type="noConversion"/>
  </si>
  <si>
    <t>Virtual and Mobile Learning Activities in Higher Education</t>
  </si>
  <si>
    <t>Amhag, Lisbeth</t>
  </si>
  <si>
    <t>http://services.igi-global.com/resolvedoi/resolve.aspx?doi=10.4018/978-1-7998-4183-8</t>
    <phoneticPr fontId="3" type="noConversion"/>
  </si>
  <si>
    <t>Memory, Conflicts, Disasters and the Geopolitics of the Displaced</t>
  </si>
  <si>
    <t>Eybalin Casséus, Clara Rachel</t>
    <phoneticPr fontId="3" type="noConversion"/>
  </si>
  <si>
    <t>http://services.igi-global.com/resolvedoi/resolve.aspx?doi=10.4018/978-1-7998-4438-9</t>
    <phoneticPr fontId="3" type="noConversion"/>
  </si>
  <si>
    <t>Understanding the Role of Artificial Intelligence and its Future Social Impact</t>
  </si>
  <si>
    <t>Sheikh, Salim</t>
  </si>
  <si>
    <t>http://services.igi-global.com/resolvedoi/resolve.aspx?doi=10.4018/978-1-7998-4607-9</t>
    <phoneticPr fontId="3" type="noConversion"/>
  </si>
  <si>
    <t>Handbook of Research on Resident and Tourist Perspectives on Travel Destinations</t>
  </si>
  <si>
    <t>Pinto, Patrícia</t>
  </si>
  <si>
    <t>http://services.igi-global.com/resolvedoi/resolve.aspx?doi=10.4018/978-1-7998-3156-3</t>
    <phoneticPr fontId="3" type="noConversion"/>
  </si>
  <si>
    <t>Political Identity and Democratic Citizenship in Turbulent Times</t>
    <phoneticPr fontId="3" type="noConversion"/>
  </si>
  <si>
    <t>Kristensen, Niels Nørgaard</t>
    <phoneticPr fontId="3" type="noConversion"/>
  </si>
  <si>
    <t>http://services.igi-global.com/resolvedoi/resolve.aspx?doi=10.4018/978-1-7998-3677-3</t>
    <phoneticPr fontId="3" type="noConversion"/>
  </si>
  <si>
    <t>Cases on Tour Guide Practices for Alternative Tourism</t>
  </si>
  <si>
    <t>Yildirim, Gulsun</t>
  </si>
  <si>
    <t>http://services.igi-global.com/resolvedoi/resolve.aspx?doi=10.4018/978-1-7998-3725-1</t>
    <phoneticPr fontId="3" type="noConversion"/>
  </si>
  <si>
    <t>Demand Forecasting and Order Planning in Supply Chains and Humanitarian Logistics</t>
  </si>
  <si>
    <t>Taghipour, Atour</t>
  </si>
  <si>
    <t>http://services.igi-global.com/resolvedoi/resolve.aspx?doi=10.4018/978-1-7998-3805-0</t>
    <phoneticPr fontId="3" type="noConversion"/>
  </si>
  <si>
    <t>Strategies for Promoting Sustainable Hospitality and Tourism Services</t>
  </si>
  <si>
    <t>Korstanje, Maximiliano Emanuel</t>
    <phoneticPr fontId="3" type="noConversion"/>
  </si>
  <si>
    <t>http://services.igi-global.com/resolvedoi/resolve.aspx?doi=10.4018/978-1-7998-4330-6</t>
    <phoneticPr fontId="3" type="noConversion"/>
  </si>
  <si>
    <t>Innovations in Digital Branding and Content Marketing</t>
  </si>
  <si>
    <t>Das, Subhankar</t>
  </si>
  <si>
    <t>http://services.igi-global.com/resolvedoi/resolve.aspx?doi=10.4018/978-1-7998-4420-4</t>
    <phoneticPr fontId="3" type="noConversion"/>
  </si>
  <si>
    <t>Building and Maintaining Adult Learning Advantage</t>
  </si>
  <si>
    <t>Hai-Jew, Shalin</t>
    <phoneticPr fontId="3" type="noConversion"/>
  </si>
  <si>
    <t>http://services.igi-global.com/resolvedoi/resolve.aspx?doi=10.4018/978-1-7998-4516-4</t>
    <phoneticPr fontId="3" type="noConversion"/>
  </si>
  <si>
    <t>Strategies for Business Sustainability in a Collaborative Economy</t>
    <phoneticPr fontId="3" type="noConversion"/>
  </si>
  <si>
    <t>Leon, Ramona-Diana</t>
    <phoneticPr fontId="3" type="noConversion"/>
  </si>
  <si>
    <t>http://services.igi-global.com/resolvedoi/resolve.aspx?doi=10.4018/978-1-7998-4543-0</t>
    <phoneticPr fontId="3" type="noConversion"/>
  </si>
  <si>
    <t>Dynamic Strategic Thinking for Improved Competitiveness and Performance</t>
  </si>
  <si>
    <t>Andraz, Georgette</t>
  </si>
  <si>
    <t>http://services.igi-global.com/resolvedoi/resolve.aspx?doi=10.4018/978-1-7998-4552-2</t>
    <phoneticPr fontId="3" type="noConversion"/>
  </si>
  <si>
    <t>Web 2.0 and Cloud Technologies for Implementing Connected Government</t>
  </si>
  <si>
    <t>http://services.igi-global.com/resolvedoi/resolve.aspx?doi=10.4018/978-1-7998-4570-6</t>
    <phoneticPr fontId="3" type="noConversion"/>
  </si>
  <si>
    <t>Techniques and Interventions for Play Therapy and Clinical Supervision</t>
  </si>
  <si>
    <t>Fazio-Griffith, Laura</t>
    <phoneticPr fontId="3" type="noConversion"/>
  </si>
  <si>
    <t>http://services.igi-global.com/resolvedoi/resolve.aspx?doi=10.4018/978-1-7998-4628-4</t>
    <phoneticPr fontId="3" type="noConversion"/>
  </si>
  <si>
    <t>Assessment Tools for Mapping Learning Outcomes with Learning Objectives</t>
  </si>
  <si>
    <t>Sinha, G R</t>
  </si>
  <si>
    <t>http://services.igi-global.com/resolvedoi/resolve.aspx?doi=10.4018/978-1-7998-4784-7</t>
    <phoneticPr fontId="3" type="noConversion"/>
  </si>
  <si>
    <t>Global Challenges and Strategic Disruptors in Asian Businesses and Economies</t>
  </si>
  <si>
    <t>http://services.igi-global.com/resolvedoi/resolve.aspx?doi=10.4018/978-1-7998-4787-8</t>
    <phoneticPr fontId="3" type="noConversion"/>
  </si>
  <si>
    <t>Corporate Governance and Its Implications on Accounting and Finance</t>
  </si>
  <si>
    <t>Alqatan, Ahmad J.</t>
    <phoneticPr fontId="3" type="noConversion"/>
  </si>
  <si>
    <t>http://services.igi-global.com/resolvedoi/resolve.aspx?doi=10.4018/978-1-7998-4852-3</t>
    <phoneticPr fontId="3" type="noConversion"/>
  </si>
  <si>
    <t>Global Business Leadership Development for the Fourth Industrial Revolution</t>
  </si>
  <si>
    <t>Smith, Peter</t>
  </si>
  <si>
    <t>http://services.igi-global.com/resolvedoi/resolve.aspx?doi=10.4018/978-1-7998-4861-5</t>
    <phoneticPr fontId="3" type="noConversion"/>
  </si>
  <si>
    <t>Handbook of Research on Applied AI for International Business and Marketing Applications</t>
  </si>
  <si>
    <t>http://services.igi-global.com/resolvedoi/resolve.aspx?doi=10.4018/978-1-7998-5077-9</t>
    <phoneticPr fontId="3" type="noConversion"/>
  </si>
  <si>
    <t>Recent Applications of Financial Risk Modelling and Portfolio Management</t>
  </si>
  <si>
    <t>Škrinjarić, Tihana</t>
  </si>
  <si>
    <t>http://services.igi-global.com/resolvedoi/resolve.aspx?doi=10.4018/978-1-7998-5083-0</t>
    <phoneticPr fontId="3" type="noConversion"/>
  </si>
  <si>
    <t>Promoting Patient Engagement and Participation for Effective Healthcare Reform</t>
  </si>
  <si>
    <t>http://services.igi-global.com/resolvedoi/resolve.aspx?doi=10.4018/978-1-4666-9992-2</t>
    <phoneticPr fontId="3" type="noConversion"/>
  </si>
  <si>
    <t>Advancing Pharmaceutical Processes and Tools for Improved Health Outcomes</t>
  </si>
  <si>
    <t>http://services.igi-global.com/resolvedoi/resolve.aspx?doi=10.4018/978-1-5225-0248-7</t>
    <phoneticPr fontId="3" type="noConversion"/>
  </si>
  <si>
    <t>Classification and Clustering in Biomedical Signal Processing</t>
  </si>
  <si>
    <t>http://services.igi-global.com/resolvedoi/resolve.aspx?doi=10.4018/978-1-5225-0140-4</t>
    <phoneticPr fontId="3" type="noConversion"/>
  </si>
  <si>
    <t>Handbook of Research on Geriatric Health, Treatment, and Care</t>
  </si>
  <si>
    <t>Prasad, Barre Vijaya</t>
  </si>
  <si>
    <t>http://services.igi-global.com/resolvedoi/resolve.aspx?doi=10.4018/978-1-5225-3480-8</t>
    <phoneticPr fontId="3" type="noConversion"/>
  </si>
  <si>
    <t>Examining the Causal Relationship Between Genes, Epigenetics, and Human Health</t>
  </si>
  <si>
    <t>Wambuguh, Oscar J</t>
  </si>
  <si>
    <t>http://services.igi-global.com/resolvedoi/resolve.aspx?doi=10.4018/978-1-5225-8066-9</t>
    <phoneticPr fontId="3" type="noConversion"/>
  </si>
  <si>
    <t>Pre-Screening Systems for Early Disease Prediction, Detection, and Prevention</t>
  </si>
  <si>
    <t>Edoh, Thierry</t>
  </si>
  <si>
    <t>http://services.igi-global.com/resolvedoi/resolve.aspx?doi=10.4018/978-1-5225-7131-5</t>
    <phoneticPr fontId="3" type="noConversion"/>
  </si>
  <si>
    <t>Handbook of Research on the Adverse Effects of Pesticide Pollution in Aquatic Ecosystems</t>
  </si>
  <si>
    <t>Wani, Khursheed Ahmad</t>
  </si>
  <si>
    <t>http://services.igi-global.com/resolvedoi/resolve.aspx?doi=10.4018/978-1-5225-6111-8</t>
    <phoneticPr fontId="3" type="noConversion"/>
  </si>
  <si>
    <t>Mental Health Policy, Practice, and Service Accessibility in Contemporary Society</t>
  </si>
  <si>
    <t>Martin, Jennifer M.</t>
  </si>
  <si>
    <t>http://services.igi-global.com/resolvedoi/resolve.aspx?doi=10.4018/978-1-5225-7402-6</t>
    <phoneticPr fontId="3" type="noConversion"/>
  </si>
  <si>
    <t>Attractors and Higher Dimensions in Population and Molecular Biology: Emerging Research and Opportunities</t>
  </si>
  <si>
    <t>http://services.igi-global.com/resolvedoi/resolve.aspx?doi=10.4018/978-1-5225-9651-6</t>
    <phoneticPr fontId="3" type="noConversion"/>
  </si>
  <si>
    <t>Handbook of Research on Clinical Applications of Computerized Occlusal Analysis in Dental Medicine</t>
  </si>
  <si>
    <t>http://services.igi-global.com/resolvedoi/resolve.aspx?doi=10.4018/978-1-5225-9254-9</t>
    <phoneticPr fontId="3" type="noConversion"/>
  </si>
  <si>
    <t>Biomedical and Clinical Engineering for Healthcare Advancement</t>
  </si>
  <si>
    <t>Sriraam, N.</t>
  </si>
  <si>
    <t>http://services.igi-global.com/resolvedoi/resolve.aspx?doi=10.4018/978-1-7998-0326-3</t>
    <phoneticPr fontId="3" type="noConversion"/>
  </si>
  <si>
    <t>Handbook of Research on Health Systems and Organizations for an Aging Society</t>
  </si>
  <si>
    <t>Fonseca, César</t>
  </si>
  <si>
    <t>http://services.igi-global.com/resolvedoi/resolve.aspx?doi=10.4018/978-1-5225-9818-3</t>
    <phoneticPr fontId="3" type="noConversion"/>
  </si>
  <si>
    <t>Technological Developments in Food Preservation, Processing, and Storage</t>
  </si>
  <si>
    <t>Yıkmış, Seydi</t>
  </si>
  <si>
    <t>http://services.igi-global.com/resolvedoi/resolve.aspx?doi=10.4018/978-1-7998-1924-0</t>
    <phoneticPr fontId="3" type="noConversion"/>
  </si>
  <si>
    <t>Current State and Future Impacts of Climate Change on Biodiversity</t>
  </si>
  <si>
    <t>Rathoure, Ashok Kumar</t>
  </si>
  <si>
    <t>http://services.igi-global.com/resolvedoi/resolve.aspx?doi=10.4018/978-1-7998-1226-5</t>
    <phoneticPr fontId="3" type="noConversion"/>
  </si>
  <si>
    <t>Exploring the Role of ICTs in Healthy Aging</t>
  </si>
  <si>
    <t>Mendes, David</t>
  </si>
  <si>
    <t>http://services.igi-global.com/resolvedoi/resolve.aspx?doi=10.4018/978-1-7998-1937-0</t>
    <phoneticPr fontId="3" type="noConversion"/>
  </si>
  <si>
    <t>Handbook of Research on Optimizing Healthcare Management Techniques</t>
  </si>
  <si>
    <t>http://services.igi-global.com/resolvedoi/resolve.aspx?doi=10.4018/978-1-7998-1371-2</t>
    <phoneticPr fontId="3" type="noConversion"/>
  </si>
  <si>
    <t>Predicting, Monitoring, and Assessing Forest Fire Dangers and Risks</t>
  </si>
  <si>
    <t>Baranovskiy, Nikolay Viktorovich</t>
  </si>
  <si>
    <t>http://services.igi-global.com/resolvedoi/resolve.aspx?doi=10.4018/978-1-7998-1867-0</t>
    <phoneticPr fontId="3" type="noConversion"/>
  </si>
  <si>
    <t>Advanced Pharmacological Uses of Medicinal Plants and Natural Products</t>
    <phoneticPr fontId="3" type="noConversion"/>
  </si>
  <si>
    <t>Singh, Ajeet</t>
  </si>
  <si>
    <t>http://services.igi-global.com/resolvedoi/resolve.aspx?doi=10.4018/978-1-7998-2094-9</t>
    <phoneticPr fontId="3" type="noConversion"/>
  </si>
  <si>
    <t>Handbook of Research on Prenatal, Postnatal, and Early Childhood Development</t>
    <phoneticPr fontId="3" type="noConversion"/>
  </si>
  <si>
    <t>Aral, Neriman</t>
  </si>
  <si>
    <t>http://services.igi-global.com/resolvedoi/resolve.aspx?doi=10.4018/978-1-7998-2952-2</t>
    <phoneticPr fontId="3" type="noConversion"/>
  </si>
  <si>
    <t>Developing Sustainable Food Systems, Policies, and Securities</t>
  </si>
  <si>
    <t>Obayelu, Abiodun Elijah</t>
  </si>
  <si>
    <t>http://services.igi-global.com/resolvedoi/resolve.aspx?doi=10.4018/978-1-7998-2599-9</t>
    <phoneticPr fontId="3" type="noConversion"/>
  </si>
  <si>
    <t>Biomedical Computing for Breast Cancer Detection and Diagnosis</t>
  </si>
  <si>
    <t>Santos, Wellington Pinheiro dos</t>
  </si>
  <si>
    <t>http://services.igi-global.com/resolvedoi/resolve.aspx?doi=10.4018/978-1-7998-3456-4</t>
    <phoneticPr fontId="3" type="noConversion"/>
  </si>
  <si>
    <t>Opportunities and Challenges in Digital Healthcare Innovation</t>
  </si>
  <si>
    <t>Sandhu, Kamaljeet</t>
  </si>
  <si>
    <t>http://services.igi-global.com/resolvedoi/resolve.aspx?doi=10.4018/978-1-7998-3274-4</t>
    <phoneticPr fontId="3" type="noConversion"/>
  </si>
  <si>
    <t>Deep Neural Networks for Multimodal Imaging and Biomedical Applications</t>
  </si>
  <si>
    <t>Suresh, Annamalai</t>
  </si>
  <si>
    <t>http://services.igi-global.com/resolvedoi/resolve.aspx?doi=10.4018/978-1-7998-3591-2</t>
    <phoneticPr fontId="3" type="noConversion"/>
  </si>
  <si>
    <t>Evaluation and Management of High-Risk Pregnancies: Emerging Research and Opportunities</t>
  </si>
  <si>
    <t>Nanda, Sapna</t>
  </si>
  <si>
    <t>http://services.igi-global.com/resolvedoi/resolve.aspx?doi=10.4018/978-1-7998-4357-3</t>
    <phoneticPr fontId="3" type="noConversion"/>
  </si>
  <si>
    <t>Mathematical Models of Infectious Diseases and Social Issues</t>
  </si>
  <si>
    <t>Shah, Nita H.</t>
    <phoneticPr fontId="3" type="noConversion"/>
  </si>
  <si>
    <t>http://services.igi-global.com/resolvedoi/resolve.aspx?doi=10.4018/978-1-7998-3741-1</t>
    <phoneticPr fontId="3" type="noConversion"/>
  </si>
  <si>
    <t>Cases on Instructional Design and Performance Outcomes in Medical Education</t>
  </si>
  <si>
    <t>Stefaniak, Jill</t>
  </si>
  <si>
    <t>http://services.igi-global.com/resolvedoi/resolve.aspx?doi=10.4018/978-1-7998-5092-2</t>
    <phoneticPr fontId="3" type="noConversion"/>
  </si>
  <si>
    <t>Alzheimer's Disease: New Beginnings</t>
  </si>
  <si>
    <t>Perry, George</t>
  </si>
  <si>
    <t>http://ebooks.windeal.com.tw/ios/cover.asp?isbn=9781614998754</t>
    <phoneticPr fontId="3" type="noConversion"/>
  </si>
  <si>
    <t>Differential Diagnosis in Neurology</t>
  </si>
  <si>
    <t>Revised Second Edition</t>
  </si>
  <si>
    <t>Schwartzman, Robert J.</t>
  </si>
  <si>
    <t>http://ebooks.windeal.com.tw/ios/cover.asp?isbn=9781614999652</t>
    <phoneticPr fontId="3" type="noConversion"/>
  </si>
  <si>
    <t>Standards and Standardization: Concepts, Methodologies, Tools, and Applications</t>
  </si>
  <si>
    <t>http://services.igi-global.com/resolvedoi/resolve.aspx?doi=10.4018/978-1-4666-8111-8</t>
    <phoneticPr fontId="3" type="noConversion"/>
  </si>
  <si>
    <t>Fracture and Damage Mechanics for Structural Engineering of Frames: State-of-the-Art Industrial Applications</t>
  </si>
  <si>
    <t>Florez-Lopez, Julio</t>
  </si>
  <si>
    <t>http://services.igi-global.com/resolvedoi/resolve.aspx?doi=10.4018/978-1-4666-6379-4</t>
    <phoneticPr fontId="3" type="noConversion"/>
  </si>
  <si>
    <t>Optimization Techniques for Problem Solving in Uncertainty</t>
  </si>
  <si>
    <t>Tilahun, Surafel Luleseged</t>
  </si>
  <si>
    <t>http://services.igi-global.com/resolvedoi/resolve.aspx?doi=10.4018/978-1-5225-5091-4</t>
    <phoneticPr fontId="3" type="noConversion"/>
  </si>
  <si>
    <t>Contemporary Strategies and Approaches in 3-D Information Modeling</t>
  </si>
  <si>
    <t>Kumar, Bimal</t>
  </si>
  <si>
    <t>http://services.igi-global.com/resolvedoi/resolve.aspx?doi=10.4018/978-1-5225-5625-1</t>
    <phoneticPr fontId="3" type="noConversion"/>
  </si>
  <si>
    <t>Wearable Technologies: Concepts, Methodologies, Tools, and Applications</t>
  </si>
  <si>
    <t>http://services.igi-global.com/resolvedoi/resolve.aspx?doi=10.4018/978-1-5225-5484-4</t>
    <phoneticPr fontId="3" type="noConversion"/>
  </si>
  <si>
    <t>Soft Computing Techniques and Applications in Mechanical Engineering</t>
  </si>
  <si>
    <t>http://services.igi-global.com/resolvedoi/resolve.aspx?doi=10.4018/978-1-5225-3035-0</t>
    <phoneticPr fontId="3" type="noConversion"/>
  </si>
  <si>
    <t>Unmanned Aerial Vehicles: Breakthroughs in Research and Practice</t>
  </si>
  <si>
    <t>http://services.igi-global.com/resolvedoi/resolve.aspx?doi=10.4018/978-1-5225-8365-3</t>
    <phoneticPr fontId="3" type="noConversion"/>
  </si>
  <si>
    <t>Managerial Perspectives on Intelligent Big Data Analytics</t>
  </si>
  <si>
    <t>http://services.igi-global.com/resolvedoi/resolve.aspx?doi=10.4018/978-1-5225-7277-0</t>
    <phoneticPr fontId="3" type="noConversion"/>
  </si>
  <si>
    <t>Advanced Fuzzy Logic Approaches in Engineering Science</t>
  </si>
  <si>
    <t>http://services.igi-global.com/resolvedoi/resolve.aspx?doi=10.4018/978-1-5225-5709-8</t>
    <phoneticPr fontId="3" type="noConversion"/>
  </si>
  <si>
    <t>Edge Computing and Computational Intelligence Paradigms for the IoT</t>
  </si>
  <si>
    <t>Nagarajan, G.</t>
  </si>
  <si>
    <t>http://services.igi-global.com/resolvedoi/resolve.aspx?doi=10.4018/978-1-5225-8555-8</t>
    <phoneticPr fontId="3" type="noConversion"/>
  </si>
  <si>
    <t>Architectures and Frameworks for Developing and Applying Blockchain Technology</t>
  </si>
  <si>
    <t>Shi, Nansi</t>
  </si>
  <si>
    <t>http://services.igi-global.com/resolvedoi/resolve.aspx?doi=10.4018/978-1-5225-9257-0</t>
    <phoneticPr fontId="3" type="noConversion"/>
  </si>
  <si>
    <t>Blockchain Technology for Global Social Change</t>
  </si>
  <si>
    <t>Thomason, Jane</t>
  </si>
  <si>
    <t>http://services.igi-global.com/resolvedoi/resolve.aspx?doi=10.4018/978-1-5225-9578-6</t>
    <phoneticPr fontId="3" type="noConversion"/>
  </si>
  <si>
    <t>Advanced Catalysis Processes in Petrochemicals and Petroleum Refining: Emerging Research and Opportunities</t>
    <phoneticPr fontId="3" type="noConversion"/>
  </si>
  <si>
    <t>Al-Kinany, Mohammed C.</t>
  </si>
  <si>
    <t>http://services.igi-global.com/resolvedoi/resolve.aspx?doi=10.4018/978-1-5225-8033-1</t>
    <phoneticPr fontId="3" type="noConversion"/>
  </si>
  <si>
    <t>Megacities and Rapid Urbanization: Breakthroughs in Research and Practice</t>
  </si>
  <si>
    <t>http://services.igi-global.com/resolvedoi/resolve.aspx?doi=10.4018/978-1-5225-9276-1</t>
    <phoneticPr fontId="3" type="noConversion"/>
  </si>
  <si>
    <t>Green Building Management and Smart Automation</t>
  </si>
  <si>
    <t>Solanki, Arun</t>
  </si>
  <si>
    <t>http://services.igi-global.com/resolvedoi/resolve.aspx?doi=10.4018/978-1-5225-9754-4</t>
    <phoneticPr fontId="3" type="noConversion"/>
  </si>
  <si>
    <t>Decision Support Methods for Assessing Flood Risk and Vulnerability</t>
  </si>
  <si>
    <t>http://services.igi-global.com/resolvedoi/resolve.aspx?doi=10.4018/978-1-5225-9771-1</t>
    <phoneticPr fontId="3" type="noConversion"/>
  </si>
  <si>
    <t>Handbook of Research on Environmental and Human Health Impacts of Plastic Pollution</t>
  </si>
  <si>
    <t>http://services.igi-global.com/resolvedoi/resolve.aspx?doi=10.4018/978-1-5225-9452-9</t>
    <phoneticPr fontId="3" type="noConversion"/>
  </si>
  <si>
    <t>Handbook of Research on Advanced Mechatronic Systems and Intelligent Robotics</t>
  </si>
  <si>
    <t>http://services.igi-global.com/resolvedoi/resolve.aspx?doi=10.4018/978-1-7998-0137-5</t>
    <phoneticPr fontId="3" type="noConversion"/>
  </si>
  <si>
    <t>Additive Manufacturing: Breakthroughs in Research and Practice</t>
  </si>
  <si>
    <t>http://services.igi-global.com/resolvedoi/resolve.aspx?doi=10.4018/978-1-5225-9624-0</t>
    <phoneticPr fontId="3" type="noConversion"/>
  </si>
  <si>
    <t>Security, Privacy, and Forensics Issues in Big Data</t>
  </si>
  <si>
    <t>Joshi, Ramesh C.</t>
  </si>
  <si>
    <t>http://services.igi-global.com/resolvedoi/resolve.aspx?doi=10.4018/978-1-5225-9742-1</t>
    <phoneticPr fontId="3" type="noConversion"/>
  </si>
  <si>
    <t>Handbook of Research on the Internet of Things Applications in Robotics and Automation</t>
  </si>
  <si>
    <t>Singh, Rajesh</t>
  </si>
  <si>
    <t>http://services.igi-global.com/resolvedoi/resolve.aspx?doi=10.4018/978-1-5225-9574-8</t>
    <phoneticPr fontId="3" type="noConversion"/>
  </si>
  <si>
    <t>Big Data Analytics for Sustainable Computing</t>
  </si>
  <si>
    <t>Haldorai, Anandakumar</t>
  </si>
  <si>
    <t>http://services.igi-global.com/resolvedoi/resolve.aspx?doi=10.4018/978-1-5225-9750-6</t>
    <phoneticPr fontId="3" type="noConversion"/>
  </si>
  <si>
    <t>AI and Big Data's Potential for Disruptive Innovation</t>
  </si>
  <si>
    <t>Strydom, Moses</t>
  </si>
  <si>
    <t>http://services.igi-global.com/resolvedoi/resolve.aspx?doi=10.4018/978-1-5225-9687-5</t>
    <phoneticPr fontId="3" type="noConversion"/>
  </si>
  <si>
    <t>Handbook of Research on Recent Developments in Electrical and Mechanical Engineering</t>
  </si>
  <si>
    <t>http://services.igi-global.com/resolvedoi/resolve.aspx?doi=10.4018/978-1-7998-0117-7</t>
    <phoneticPr fontId="3" type="noConversion"/>
  </si>
  <si>
    <t>Handbook of Research on Big Data Clustering and Machine Learning</t>
  </si>
  <si>
    <t>Marquez, Fausto Pedro Garcia</t>
  </si>
  <si>
    <t>http://services.igi-global.com/resolvedoi/resolve.aspx?doi=10.4018/978-1-7998-0106-1</t>
    <phoneticPr fontId="3" type="noConversion"/>
  </si>
  <si>
    <t>Handbook of Research on Artificial Intelligence Applications in the Aviation and Aerospace Industries</t>
  </si>
  <si>
    <t>Shmelova, Tetiana</t>
  </si>
  <si>
    <t>http://services.igi-global.com/resolvedoi/resolve.aspx?doi=10.4018/978-1-7998-1415-3</t>
    <phoneticPr fontId="3" type="noConversion"/>
  </si>
  <si>
    <t>Handbook of Research on Emerging Applications of Fuzzy Algebraic Structures</t>
  </si>
  <si>
    <t>Jana, Chiranjibe</t>
  </si>
  <si>
    <t>http://services.igi-global.com/resolvedoi/resolve.aspx?doi=10.4018/978-1-7998-0190-0</t>
    <phoneticPr fontId="3" type="noConversion"/>
  </si>
  <si>
    <t>Security and Privacy Issues in Sensor Networks and IoT</t>
  </si>
  <si>
    <t>Ahlawat, Priyanka</t>
  </si>
  <si>
    <t>http://services.igi-global.com/resolvedoi/resolve.aspx?doi=10.4018/978-1-7998-0373-7</t>
    <phoneticPr fontId="3" type="noConversion"/>
  </si>
  <si>
    <t>Diverse Applications of Organic-Inorganic Nanocomposites: Emerging Research and Opportunities</t>
  </si>
  <si>
    <t>Clarizia, Gabriele</t>
  </si>
  <si>
    <t>http://services.igi-global.com/resolvedoi/resolve.aspx?doi=10.4018/978-1-7998-1530-3</t>
    <phoneticPr fontId="3" type="noConversion"/>
  </si>
  <si>
    <t>Enhanced Heat Transfer Mechanism of Nanofluid MQL Cooling Grinding</t>
  </si>
  <si>
    <t>Li, Changhe</t>
  </si>
  <si>
    <t>http://services.igi-global.com/resolvedoi/resolve.aspx?doi=10.4018/978-1-7998-1546-4</t>
    <phoneticPr fontId="3" type="noConversion"/>
  </si>
  <si>
    <t>Handbook of Research on Developments and Trends in Industrial and Materials Engineering</t>
  </si>
  <si>
    <t>http://services.igi-global.com/resolvedoi/resolve.aspx?doi=10.4018/978-1-7998-1831-1</t>
    <phoneticPr fontId="3" type="noConversion"/>
  </si>
  <si>
    <t>Advanced Robotics and Intelligent Automation in Manufacturing</t>
  </si>
  <si>
    <t>http://services.igi-global.com/resolvedoi/resolve.aspx?doi=10.4018/978-1-7998-1382-8</t>
    <phoneticPr fontId="3" type="noConversion"/>
  </si>
  <si>
    <t>Virtual and Augmented Reality in Education, Art, and Museums</t>
  </si>
  <si>
    <t>Guazzaroni, Giuliana</t>
  </si>
  <si>
    <t>http://services.igi-global.com/resolvedoi/resolve.aspx?doi=10.4018/978-1-7998-1796-3</t>
    <phoneticPr fontId="3" type="noConversion"/>
  </si>
  <si>
    <t>Handbook of Research on Urban-Rural Synergy Development Through Housing, Landscape, and Tourism</t>
  </si>
  <si>
    <t>Krstić-Furundži, Aleksandra</t>
  </si>
  <si>
    <t>http://services.igi-global.com/resolvedoi/resolve.aspx?doi=10.4018/978-1-5225-9932-6</t>
    <phoneticPr fontId="3" type="noConversion"/>
  </si>
  <si>
    <t>Deep Learning Techniques and Optimization Strategies in Big Data Analytics</t>
  </si>
  <si>
    <t>Thomas, J. Joshua</t>
  </si>
  <si>
    <t>http://services.igi-global.com/resolvedoi/resolve.aspx?doi=10.4018/978-1-7998-1192-3</t>
    <phoneticPr fontId="3" type="noConversion"/>
  </si>
  <si>
    <t>Applications and Approaches to Object-Oriented Software Design: Emerging Research and Opportunities</t>
  </si>
  <si>
    <t>Altan, Zeynep</t>
  </si>
  <si>
    <t>http://services.igi-global.com/resolvedoi/resolve.aspx?doi=10.4018/978-1-7998-2142-7</t>
    <phoneticPr fontId="3" type="noConversion"/>
  </si>
  <si>
    <t>Emerging Developments and Environmental Impacts of Ecological Chemistry</t>
  </si>
  <si>
    <t>Duca, Gheorghe</t>
  </si>
  <si>
    <t>http://services.igi-global.com/resolvedoi/resolve.aspx?doi=10.4018/978-1-7998-1241-8</t>
    <phoneticPr fontId="3" type="noConversion"/>
  </si>
  <si>
    <t>AI Techniques for Reliability Prediction for Electronic Components</t>
  </si>
  <si>
    <t>Bhargava, Cherry</t>
  </si>
  <si>
    <t>http://services.igi-global.com/resolvedoi/resolve.aspx?doi=10.4018/978-1-7998-1464-1</t>
    <phoneticPr fontId="3" type="noConversion"/>
  </si>
  <si>
    <t>Design of Experiments for Chemical, Pharmaceutical, Food, and Industrial Applications</t>
  </si>
  <si>
    <t>Carrillo-Cedillo, Eugenia Gabriela</t>
  </si>
  <si>
    <t>http://services.igi-global.com/resolvedoi/resolve.aspx?doi=10.4018/978-1-7998-1518-1</t>
    <phoneticPr fontId="3" type="noConversion"/>
  </si>
  <si>
    <t>Applications and Techniques for Experimental Stress Analysis</t>
  </si>
  <si>
    <t>Karuppasamy, Karthik Selva Kumar</t>
  </si>
  <si>
    <t>http://services.igi-global.com/resolvedoi/resolve.aspx?doi=10.4018/978-1-7998-1690-4</t>
    <phoneticPr fontId="3" type="noConversion"/>
  </si>
  <si>
    <t>Multi-Objective Optimization of Industrial Power Generation Systems: Emerging Research and Opportunities</t>
  </si>
  <si>
    <t>Ganesan, Timothy</t>
  </si>
  <si>
    <t>http://services.igi-global.com/resolvedoi/resolve.aspx?doi=10.4018/978-1-7998-1710-9</t>
    <phoneticPr fontId="3" type="noConversion"/>
  </si>
  <si>
    <t>Effects of Emerging Chemical Contaminants on Water Resources and Environmental Health</t>
  </si>
  <si>
    <t>Shikuku, Victor</t>
  </si>
  <si>
    <t>http://services.igi-global.com/resolvedoi/resolve.aspx?doi=10.4018/978-1-7998-1871-7</t>
    <phoneticPr fontId="3" type="noConversion"/>
  </si>
  <si>
    <t>Waste Management Techniques for Improved Environmental and Public Health: Emerging Research and Opportunities</t>
  </si>
  <si>
    <t>Tsai, SangBing</t>
  </si>
  <si>
    <t>http://services.igi-global.com/resolvedoi/resolve.aspx?doi=10.4018/978-1-7998-1966-0</t>
    <phoneticPr fontId="3" type="noConversion"/>
  </si>
  <si>
    <t>Quantum Cryptography and the Future of Cyber Security</t>
  </si>
  <si>
    <t>Chaubey, Nirbhay Kumar</t>
  </si>
  <si>
    <t>http://services.igi-global.com/resolvedoi/resolve.aspx?doi=10.4018/978-1-7998-2253-0</t>
    <phoneticPr fontId="3" type="noConversion"/>
  </si>
  <si>
    <t>Implementing Computational Intelligence Techniques for Security Systems Design</t>
  </si>
  <si>
    <t>http://services.igi-global.com/resolvedoi/resolve.aspx?doi=10.4018/978-1-7998-2418-3</t>
    <phoneticPr fontId="3" type="noConversion"/>
  </si>
  <si>
    <t>Examining the Environmental Impacts of Materials and Buildings</t>
  </si>
  <si>
    <t>Brownell, Blaine Erickson</t>
  </si>
  <si>
    <t>http://services.igi-global.com/resolvedoi/resolve.aspx?doi=10.4018/978-1-7998-2426-8</t>
    <phoneticPr fontId="3" type="noConversion"/>
  </si>
  <si>
    <t>IoT and Cloud Computing Advancements in Vehicular Ad-Hoc Networks</t>
  </si>
  <si>
    <t>Rao, Ram Shringar</t>
  </si>
  <si>
    <t>http://services.igi-global.com/resolvedoi/resolve.aspx?doi=10.4018/978-1-7998-2570-8</t>
    <phoneticPr fontId="3" type="noConversion"/>
  </si>
  <si>
    <t>Applications of Artificial Intelligence in Electrical Engineering</t>
  </si>
  <si>
    <t>http://services.igi-global.com/resolvedoi/resolve.aspx?doi=10.4018/978-1-7998-2718-4</t>
    <phoneticPr fontId="3" type="noConversion"/>
  </si>
  <si>
    <t>Blockchain Applications in IoT Security</t>
  </si>
  <si>
    <t>Patel, Harshita</t>
  </si>
  <si>
    <t>http://services.igi-global.com/resolvedoi/resolve.aspx?doi=10.4018/978-1-7998-2414-5</t>
    <phoneticPr fontId="3" type="noConversion"/>
  </si>
  <si>
    <t>Handbook of Research on Engineering Innovations and Technology Management in Organizations</t>
  </si>
  <si>
    <t>Gaur, Loveleen</t>
  </si>
  <si>
    <t>http://services.igi-global.com/resolvedoi/resolve.aspx?doi=10.4018/978-1-7998-2772-6</t>
    <phoneticPr fontId="3" type="noConversion"/>
  </si>
  <si>
    <t>Machine Learning and Deep Learning in Real-Time Applications</t>
  </si>
  <si>
    <t>Mahrishi, Mehul</t>
  </si>
  <si>
    <t>http://services.igi-global.com/resolvedoi/resolve.aspx?doi=10.4018/978-1-7998-3095-5</t>
    <phoneticPr fontId="3" type="noConversion"/>
  </si>
  <si>
    <t>Opportunities and Challenges for Blockchain Technology in Autonomous Vehicles</t>
  </si>
  <si>
    <t>Tyagi, Amit Kumar</t>
  </si>
  <si>
    <t>http://services.igi-global.com/resolvedoi/resolve.aspx?doi=10.4018/978-1-7998-3295-9</t>
    <phoneticPr fontId="3" type="noConversion"/>
  </si>
  <si>
    <t>Cloud-Based Big Data Analytics in Vehicular Ad-Hoc Networks</t>
  </si>
  <si>
    <t>http://services.igi-global.com/resolvedoi/resolve.aspx?doi=10.4018/978-1-7998-2764-1</t>
    <phoneticPr fontId="3" type="noConversion"/>
  </si>
  <si>
    <t>Large-Scale Data Streaming, Processing, and Blockchain Security</t>
  </si>
  <si>
    <t>Saini, Hemraj</t>
  </si>
  <si>
    <t>http://services.igi-global.com/resolvedoi/resolve.aspx?doi=10.4018/978-1-7998-3444-1</t>
    <phoneticPr fontId="3" type="noConversion"/>
  </si>
  <si>
    <t>Advancements of Swarm Intelligence Algorithms for Solving Real-World Problems</t>
  </si>
  <si>
    <t>Cheng, Shi</t>
  </si>
  <si>
    <t>http://services.igi-global.com/resolvedoi/resolve.aspx?doi=10.4018/978-1-7998-3222-5</t>
    <phoneticPr fontId="3" type="noConversion"/>
  </si>
  <si>
    <t>Cross-Industry Use of Blockchain Technology and Opportunities for the Future</t>
  </si>
  <si>
    <t>Williams, Idongesit</t>
  </si>
  <si>
    <t>Engineering Science Reference</t>
    <phoneticPr fontId="3" type="noConversion"/>
  </si>
  <si>
    <t>http://services.igi-global.com/resolvedoi/resolve.aspx?doi=10.4018/978-1-7998-3632-2</t>
    <phoneticPr fontId="3" type="noConversion"/>
  </si>
  <si>
    <t>Inspiration and Design for Bio-Inspired Surfaces in Tribology: Emerging Research and Opportunities</t>
  </si>
  <si>
    <t>Abdel-Aal, hisham</t>
  </si>
  <si>
    <t>http://services.igi-global.com/resolvedoi/resolve.aspx?doi=10.4018/978-1-7998-1647-8</t>
    <phoneticPr fontId="3" type="noConversion"/>
  </si>
  <si>
    <t>Analyzing Future Applications of AI, Sensors, and Robotics in Society</t>
  </si>
  <si>
    <t>Musiolik, Thomas Heinrich</t>
  </si>
  <si>
    <t>http://services.igi-global.com/resolvedoi/resolve.aspx?doi=10.4018/978-1-7998-3499-1</t>
    <phoneticPr fontId="3" type="noConversion"/>
  </si>
  <si>
    <t>Advancements in Security and Privacy Initiatives for Multimedia Images</t>
  </si>
  <si>
    <t>http://services.igi-global.com/resolvedoi/resolve.aspx?doi=10.4018/978-1-7998-2795-5</t>
    <phoneticPr fontId="3" type="noConversion"/>
  </si>
  <si>
    <t>Examining Quantum Algorithms for Quantum Image Processing</t>
  </si>
  <si>
    <t>Li, HaiSheng</t>
  </si>
  <si>
    <t>http://services.igi-global.com/resolvedoi/resolve.aspx?doi=10.4018/978-1-7998-3799-2</t>
    <phoneticPr fontId="3" type="noConversion"/>
  </si>
  <si>
    <t>Applications of Artificial Neural Networks for Nonlinear Data</t>
  </si>
  <si>
    <t>Patel, Hiral Ashil</t>
  </si>
  <si>
    <t>http://services.igi-global.com/resolvedoi/resolve.aspx?doi=10.4018/978-1-7998-4042-8</t>
    <phoneticPr fontId="3" type="noConversion"/>
  </si>
  <si>
    <t>IT Auditing Using a System Perspective</t>
  </si>
  <si>
    <t>Davis, Robert Elliot</t>
    <phoneticPr fontId="3" type="noConversion"/>
  </si>
  <si>
    <t>http://services.igi-global.com/resolvedoi/resolve.aspx?doi=10.4018/978-1-7998-4198-2</t>
    <phoneticPr fontId="3" type="noConversion"/>
  </si>
  <si>
    <t>Advancements in Computer Vision Applications in Intelligent Systems and Multimedia Technologies</t>
  </si>
  <si>
    <t>http://services.igi-global.com/resolvedoi/resolve.aspx?doi=10.4018/978-1-7998-4444-0</t>
    <phoneticPr fontId="3" type="noConversion"/>
  </si>
  <si>
    <t>Recent Advancements in Bioremediation of Metal Contaminants</t>
  </si>
  <si>
    <t>Dey, Satarupa</t>
  </si>
  <si>
    <t>http://services.igi-global.com/resolvedoi/resolve.aspx?doi=10.4018/978-1-7998-4888-2</t>
    <phoneticPr fontId="3" type="noConversion"/>
  </si>
  <si>
    <t>Deep Learning Strategies for Security Enhancement in Wireless Sensor Networks</t>
  </si>
  <si>
    <t>Sagayam, K. Martin</t>
  </si>
  <si>
    <t>http://services.igi-global.com/resolvedoi/resolve.aspx?doi=10.4018/978-1-7998-5068-7</t>
    <phoneticPr fontId="3" type="noConversion"/>
  </si>
  <si>
    <t>Deep Learning Applications in Medical Imaging</t>
  </si>
  <si>
    <t>Saxena, Sanjay</t>
  </si>
  <si>
    <t>http://services.igi-global.com/resolvedoi/resolve.aspx?doi=10.4018/978-1-7998-5071-7</t>
    <phoneticPr fontId="3" type="noConversion"/>
  </si>
  <si>
    <r>
      <rPr>
        <sz val="12"/>
        <rFont val="新細明體"/>
        <family val="1"/>
        <charset val="136"/>
      </rPr>
      <t>主題</t>
    </r>
  </si>
  <si>
    <r>
      <rPr>
        <sz val="12"/>
        <rFont val="新細明體"/>
        <family val="1"/>
        <charset val="136"/>
      </rPr>
      <t>次主題</t>
    </r>
    <phoneticPr fontId="3" type="noConversion"/>
  </si>
  <si>
    <r>
      <rPr>
        <sz val="12"/>
        <rFont val="新細明體"/>
        <family val="1"/>
        <charset val="136"/>
      </rPr>
      <t>題名</t>
    </r>
  </si>
  <si>
    <r>
      <rPr>
        <sz val="12"/>
        <rFont val="新細明體"/>
        <family val="1"/>
        <charset val="136"/>
      </rPr>
      <t>冊數</t>
    </r>
  </si>
  <si>
    <r>
      <rPr>
        <sz val="12"/>
        <rFont val="新細明體"/>
        <family val="1"/>
        <charset val="136"/>
      </rPr>
      <t>版次</t>
    </r>
  </si>
  <si>
    <r>
      <rPr>
        <sz val="12"/>
        <rFont val="新細明體"/>
        <family val="1"/>
        <charset val="136"/>
      </rPr>
      <t>作者</t>
    </r>
  </si>
  <si>
    <r>
      <rPr>
        <sz val="12"/>
        <rFont val="新細明體"/>
        <family val="1"/>
        <charset val="136"/>
      </rPr>
      <t>出版者</t>
    </r>
  </si>
  <si>
    <r>
      <rPr>
        <sz val="12"/>
        <rFont val="新細明體"/>
        <family val="1"/>
        <charset val="136"/>
      </rPr>
      <t>出版年</t>
    </r>
  </si>
  <si>
    <r>
      <rPr>
        <sz val="12"/>
        <rFont val="新細明體"/>
        <family val="1"/>
        <charset val="136"/>
      </rPr>
      <t>附件</t>
    </r>
  </si>
  <si>
    <r>
      <t xml:space="preserve">B101003 </t>
    </r>
    <r>
      <rPr>
        <sz val="12"/>
        <rFont val="新細明體"/>
        <family val="1"/>
        <charset val="136"/>
      </rPr>
      <t>藥理及毒理</t>
    </r>
  </si>
  <si>
    <r>
      <rPr>
        <sz val="12"/>
        <rFont val="新細明體"/>
        <family val="1"/>
        <charset val="136"/>
      </rPr>
      <t>無光碟附件</t>
    </r>
  </si>
  <si>
    <r>
      <t xml:space="preserve">B101008 </t>
    </r>
    <r>
      <rPr>
        <sz val="12"/>
        <rFont val="新細明體"/>
        <family val="1"/>
        <charset val="136"/>
      </rPr>
      <t>保健營養</t>
    </r>
  </si>
  <si>
    <r>
      <t xml:space="preserve">B101009 </t>
    </r>
    <r>
      <rPr>
        <sz val="12"/>
        <rFont val="新細明體"/>
        <family val="1"/>
        <charset val="136"/>
      </rPr>
      <t>公共衛生及環境醫學</t>
    </r>
  </si>
  <si>
    <r>
      <t xml:space="preserve">B101010 </t>
    </r>
    <r>
      <rPr>
        <sz val="12"/>
        <rFont val="新細明體"/>
        <family val="1"/>
        <charset val="136"/>
      </rPr>
      <t>醫學工程</t>
    </r>
  </si>
  <si>
    <r>
      <t xml:space="preserve">B1020A9 </t>
    </r>
    <r>
      <rPr>
        <sz val="12"/>
        <rFont val="新細明體"/>
        <family val="1"/>
        <charset val="136"/>
      </rPr>
      <t>神經內科</t>
    </r>
  </si>
  <si>
    <r>
      <t xml:space="preserve">B1020B2 </t>
    </r>
    <r>
      <rPr>
        <sz val="12"/>
        <rFont val="新細明體"/>
        <family val="1"/>
        <charset val="136"/>
      </rPr>
      <t>精神科</t>
    </r>
  </si>
  <si>
    <r>
      <t xml:space="preserve">B1020D3 </t>
    </r>
    <r>
      <rPr>
        <sz val="12"/>
        <rFont val="新細明體"/>
        <family val="1"/>
        <charset val="136"/>
      </rPr>
      <t>婦產科</t>
    </r>
  </si>
  <si>
    <r>
      <t xml:space="preserve">B1020D9 </t>
    </r>
    <r>
      <rPr>
        <sz val="12"/>
        <rFont val="新細明體"/>
        <family val="1"/>
        <charset val="136"/>
      </rPr>
      <t>牙醫學</t>
    </r>
  </si>
  <si>
    <r>
      <t xml:space="preserve">B1030A0 </t>
    </r>
    <r>
      <rPr>
        <sz val="12"/>
        <rFont val="新細明體"/>
        <family val="1"/>
        <charset val="136"/>
      </rPr>
      <t>藥學</t>
    </r>
  </si>
  <si>
    <r>
      <t xml:space="preserve">B2020G0 </t>
    </r>
    <r>
      <rPr>
        <sz val="12"/>
        <rFont val="新細明體"/>
        <family val="1"/>
        <charset val="136"/>
      </rPr>
      <t>生物多樣性及長期生態</t>
    </r>
  </si>
  <si>
    <r>
      <t xml:space="preserve">B3010D3 </t>
    </r>
    <r>
      <rPr>
        <sz val="12"/>
        <rFont val="新細明體"/>
        <family val="1"/>
        <charset val="136"/>
      </rPr>
      <t>土壤及環保</t>
    </r>
  </si>
  <si>
    <r>
      <t xml:space="preserve">B3010E0 </t>
    </r>
    <r>
      <rPr>
        <sz val="12"/>
        <rFont val="新細明體"/>
        <family val="1"/>
        <charset val="136"/>
      </rPr>
      <t>食品及農化</t>
    </r>
  </si>
  <si>
    <r>
      <t xml:space="preserve">B3010G0 </t>
    </r>
    <r>
      <rPr>
        <sz val="12"/>
        <rFont val="新細明體"/>
        <family val="1"/>
        <charset val="136"/>
      </rPr>
      <t>森林、水保及生態</t>
    </r>
  </si>
  <si>
    <r>
      <t xml:space="preserve">E01 </t>
    </r>
    <r>
      <rPr>
        <sz val="12"/>
        <rFont val="新細明體"/>
        <family val="1"/>
        <charset val="136"/>
      </rPr>
      <t>機械固力</t>
    </r>
  </si>
  <si>
    <r>
      <t xml:space="preserve">E02 </t>
    </r>
    <r>
      <rPr>
        <sz val="12"/>
        <rFont val="新細明體"/>
        <family val="1"/>
        <charset val="136"/>
      </rPr>
      <t>化學工程</t>
    </r>
  </si>
  <si>
    <r>
      <t xml:space="preserve">E06 </t>
    </r>
    <r>
      <rPr>
        <sz val="12"/>
        <rFont val="新細明體"/>
        <family val="1"/>
        <charset val="136"/>
      </rPr>
      <t>材料工程</t>
    </r>
  </si>
  <si>
    <r>
      <t xml:space="preserve">E08 </t>
    </r>
    <r>
      <rPr>
        <sz val="12"/>
        <rFont val="新細明體"/>
        <family val="1"/>
        <charset val="136"/>
      </rPr>
      <t>資訊</t>
    </r>
  </si>
  <si>
    <r>
      <t xml:space="preserve">E09 </t>
    </r>
    <r>
      <rPr>
        <sz val="12"/>
        <rFont val="新細明體"/>
        <family val="1"/>
        <charset val="136"/>
      </rPr>
      <t>土木、水利、工程</t>
    </r>
  </si>
  <si>
    <r>
      <t xml:space="preserve">E10 </t>
    </r>
    <r>
      <rPr>
        <sz val="12"/>
        <rFont val="新細明體"/>
        <family val="1"/>
        <charset val="136"/>
      </rPr>
      <t>能源科技</t>
    </r>
  </si>
  <si>
    <r>
      <t xml:space="preserve">E11 </t>
    </r>
    <r>
      <rPr>
        <sz val="12"/>
        <rFont val="新細明體"/>
        <family val="1"/>
        <charset val="136"/>
      </rPr>
      <t>環境工程</t>
    </r>
  </si>
  <si>
    <r>
      <t xml:space="preserve">E18 </t>
    </r>
    <r>
      <rPr>
        <sz val="12"/>
        <rFont val="新細明體"/>
        <family val="1"/>
        <charset val="136"/>
      </rPr>
      <t>電力工程</t>
    </r>
  </si>
  <si>
    <r>
      <t xml:space="preserve">E50 </t>
    </r>
    <r>
      <rPr>
        <sz val="12"/>
        <rFont val="新細明體"/>
        <family val="1"/>
        <charset val="136"/>
      </rPr>
      <t>工業工程與管理</t>
    </r>
  </si>
  <si>
    <r>
      <t xml:space="preserve">E71 </t>
    </r>
    <r>
      <rPr>
        <sz val="12"/>
        <rFont val="新細明體"/>
        <family val="1"/>
        <charset val="136"/>
      </rPr>
      <t>航太科技</t>
    </r>
  </si>
  <si>
    <r>
      <t xml:space="preserve">E72 </t>
    </r>
    <r>
      <rPr>
        <sz val="12"/>
        <rFont val="新細明體"/>
        <family val="1"/>
        <charset val="136"/>
      </rPr>
      <t>熱傳學、流體力學</t>
    </r>
  </si>
  <si>
    <r>
      <t xml:space="preserve">H09 </t>
    </r>
    <r>
      <rPr>
        <sz val="12"/>
        <rFont val="新細明體"/>
        <family val="1"/>
        <charset val="136"/>
      </rPr>
      <t>人類學</t>
    </r>
  </si>
  <si>
    <r>
      <t xml:space="preserve">H11 </t>
    </r>
    <r>
      <rPr>
        <sz val="12"/>
        <rFont val="新細明體"/>
        <family val="1"/>
        <charset val="136"/>
      </rPr>
      <t>教育學</t>
    </r>
  </si>
  <si>
    <r>
      <t xml:space="preserve">H12 </t>
    </r>
    <r>
      <rPr>
        <sz val="12"/>
        <rFont val="新細明體"/>
        <family val="1"/>
        <charset val="136"/>
      </rPr>
      <t>心理學</t>
    </r>
  </si>
  <si>
    <r>
      <t xml:space="preserve">H14 </t>
    </r>
    <r>
      <rPr>
        <sz val="12"/>
        <rFont val="新細明體"/>
        <family val="1"/>
        <charset val="136"/>
      </rPr>
      <t>政治學</t>
    </r>
  </si>
  <si>
    <r>
      <t xml:space="preserve">H15 </t>
    </r>
    <r>
      <rPr>
        <sz val="12"/>
        <rFont val="新細明體"/>
        <family val="1"/>
        <charset val="136"/>
      </rPr>
      <t>經濟學</t>
    </r>
  </si>
  <si>
    <r>
      <t xml:space="preserve">H17 </t>
    </r>
    <r>
      <rPr>
        <sz val="12"/>
        <rFont val="新細明體"/>
        <family val="1"/>
        <charset val="136"/>
      </rPr>
      <t>社會學</t>
    </r>
  </si>
  <si>
    <r>
      <t xml:space="preserve">H19 </t>
    </r>
    <r>
      <rPr>
        <sz val="12"/>
        <rFont val="新細明體"/>
        <family val="1"/>
        <charset val="136"/>
      </rPr>
      <t>傳播學</t>
    </r>
  </si>
  <si>
    <r>
      <t xml:space="preserve">H40 </t>
    </r>
    <r>
      <rPr>
        <sz val="12"/>
        <rFont val="新細明體"/>
        <family val="1"/>
        <charset val="136"/>
      </rPr>
      <t>財金及會計</t>
    </r>
  </si>
  <si>
    <r>
      <t xml:space="preserve">H41 </t>
    </r>
    <r>
      <rPr>
        <sz val="12"/>
        <rFont val="新細明體"/>
        <family val="1"/>
        <charset val="136"/>
      </rPr>
      <t>管理一（人資、組織行為、策略管理、國企、醫管、科管）</t>
    </r>
  </si>
  <si>
    <r>
      <t xml:space="preserve">HA2 </t>
    </r>
    <r>
      <rPr>
        <sz val="12"/>
        <rFont val="新細明體"/>
        <family val="1"/>
        <charset val="136"/>
      </rPr>
      <t>體育學</t>
    </r>
  </si>
  <si>
    <r>
      <t xml:space="preserve">HA3 </t>
    </r>
    <r>
      <rPr>
        <sz val="12"/>
        <rFont val="新細明體"/>
        <family val="1"/>
        <charset val="136"/>
      </rPr>
      <t>圖書資訊學</t>
    </r>
  </si>
  <si>
    <r>
      <t xml:space="preserve">M02 </t>
    </r>
    <r>
      <rPr>
        <sz val="12"/>
        <rFont val="新細明體"/>
        <family val="1"/>
        <charset val="136"/>
      </rPr>
      <t>數學</t>
    </r>
  </si>
  <si>
    <r>
      <t xml:space="preserve">SSS05 </t>
    </r>
    <r>
      <rPr>
        <sz val="12"/>
        <rFont val="新細明體"/>
        <family val="1"/>
        <charset val="136"/>
      </rPr>
      <t>醫學教育</t>
    </r>
  </si>
  <si>
    <r>
      <rPr>
        <sz val="12"/>
        <rFont val="新細明體"/>
        <family val="1"/>
        <charset val="136"/>
      </rPr>
      <t>序號</t>
    </r>
    <phoneticPr fontId="3" type="noConversion"/>
  </si>
  <si>
    <r>
      <rPr>
        <sz val="12"/>
        <rFont val="新細明體"/>
        <family val="1"/>
        <charset val="136"/>
      </rPr>
      <t>電子書</t>
    </r>
    <r>
      <rPr>
        <sz val="12"/>
        <rFont val="Calibri"/>
        <family val="2"/>
      </rPr>
      <t>13</t>
    </r>
    <r>
      <rPr>
        <sz val="12"/>
        <rFont val="新細明體"/>
        <family val="1"/>
        <charset val="136"/>
      </rPr>
      <t>碼</t>
    </r>
    <r>
      <rPr>
        <sz val="12"/>
        <rFont val="Calibri"/>
        <family val="2"/>
      </rPr>
      <t>ISBN</t>
    </r>
  </si>
  <si>
    <r>
      <rPr>
        <sz val="12"/>
        <rFont val="新細明體"/>
        <family val="1"/>
        <charset val="136"/>
      </rPr>
      <t>紙本</t>
    </r>
    <r>
      <rPr>
        <sz val="12"/>
        <rFont val="Calibri"/>
        <family val="2"/>
      </rPr>
      <t>ISBN</t>
    </r>
  </si>
  <si>
    <r>
      <rPr>
        <sz val="12"/>
        <rFont val="新細明體"/>
        <family val="1"/>
        <charset val="136"/>
      </rPr>
      <t>連結</t>
    </r>
    <phoneticPr fontId="3" type="noConversion"/>
  </si>
  <si>
    <r>
      <t xml:space="preserve">H05 </t>
    </r>
    <r>
      <rPr>
        <sz val="12"/>
        <rFont val="新細明體"/>
        <family val="1"/>
        <charset val="136"/>
      </rPr>
      <t>文學二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外國文學、性別研究、文化研究</t>
    </r>
    <r>
      <rPr>
        <sz val="12"/>
        <rFont val="Calibri"/>
        <family val="2"/>
      </rPr>
      <t>)</t>
    </r>
  </si>
  <si>
    <r>
      <t xml:space="preserve">H42 </t>
    </r>
    <r>
      <rPr>
        <sz val="12"/>
        <rFont val="新細明體"/>
        <family val="1"/>
        <charset val="136"/>
      </rPr>
      <t>管理二（行銷、生管、資管、交管、作業研究</t>
    </r>
    <r>
      <rPr>
        <sz val="12"/>
        <rFont val="Calibri"/>
        <family val="2"/>
      </rPr>
      <t>/</t>
    </r>
    <r>
      <rPr>
        <sz val="12"/>
        <rFont val="新細明體"/>
        <family val="1"/>
        <charset val="136"/>
      </rPr>
      <t>數量方法）</t>
    </r>
  </si>
  <si>
    <r>
      <rPr>
        <sz val="10"/>
        <rFont val="新細明體"/>
        <family val="1"/>
        <charset val="136"/>
      </rPr>
      <t>序號</t>
    </r>
    <phoneticPr fontId="3" type="noConversion"/>
  </si>
  <si>
    <r>
      <rPr>
        <sz val="10"/>
        <rFont val="新細明體"/>
        <family val="1"/>
        <charset val="136"/>
      </rPr>
      <t>主題</t>
    </r>
  </si>
  <si>
    <r>
      <t xml:space="preserve">H11 </t>
    </r>
    <r>
      <rPr>
        <sz val="10"/>
        <rFont val="新細明體"/>
        <family val="1"/>
        <charset val="136"/>
      </rPr>
      <t>教育學</t>
    </r>
  </si>
  <si>
    <t>Increasing Productivity and Efficiency in Online Teaching</t>
  </si>
  <si>
    <r>
      <rPr>
        <sz val="10"/>
        <rFont val="新細明體"/>
        <family val="1"/>
        <charset val="136"/>
      </rPr>
      <t>無光碟附件</t>
    </r>
  </si>
  <si>
    <t>http://services.igi-global.com/resolvedoi/resolve.aspx?doi=10.4018/978-1-5225-0347-7</t>
    <phoneticPr fontId="3" type="noConversion"/>
  </si>
  <si>
    <r>
      <t xml:space="preserve">H15 </t>
    </r>
    <r>
      <rPr>
        <sz val="10"/>
        <rFont val="新細明體"/>
        <family val="1"/>
        <charset val="136"/>
      </rPr>
      <t>經濟學</t>
    </r>
  </si>
  <si>
    <t>Economic Modeling, Analysis, and Policy for Sustainability</t>
  </si>
  <si>
    <t>Goswami, Anandajit</t>
  </si>
  <si>
    <t>http://services.igi-global.com/resolvedoi/resolve.aspx?doi=10.4018/978-1-5225-0094-0</t>
    <phoneticPr fontId="3" type="noConversion"/>
  </si>
  <si>
    <t>Handbook of Research on Learning Outcomes and Opportunities in the Digital Age</t>
  </si>
  <si>
    <r>
      <rPr>
        <sz val="10"/>
        <color indexed="10"/>
        <rFont val="新細明體"/>
        <family val="1"/>
        <charset val="136"/>
      </rPr>
      <t>共</t>
    </r>
    <r>
      <rPr>
        <sz val="10"/>
        <color indexed="10"/>
        <rFont val="Times New Roman"/>
        <family val="1"/>
      </rPr>
      <t>2</t>
    </r>
    <r>
      <rPr>
        <sz val="10"/>
        <color indexed="10"/>
        <rFont val="新細明體"/>
        <family val="1"/>
        <charset val="136"/>
      </rPr>
      <t>冊</t>
    </r>
    <phoneticPr fontId="3" type="noConversion"/>
  </si>
  <si>
    <t>http://services.igi-global.com/resolvedoi/resolve.aspx?doi=10.4018/978-1-4666-9577-1</t>
    <phoneticPr fontId="3" type="noConversion"/>
  </si>
  <si>
    <t>Measuring Sustainable Development and Green Investments in Contemporary Economies</t>
  </si>
  <si>
    <t>Mieila, Mihai</t>
  </si>
  <si>
    <t>http://services.igi-global.com/resolvedoi/resolve.aspx?doi=10.4018/978-1-5225-2081-8</t>
    <phoneticPr fontId="3" type="noConversion"/>
  </si>
  <si>
    <t>Handbook of Research on Administration, Policy, and Leadership in Higher Education</t>
  </si>
  <si>
    <t>Mukerji, Siran</t>
  </si>
  <si>
    <t>http://services.igi-global.com/resolvedoi/resolve.aspx?doi=10.4018/978-1-5225-0672-0</t>
    <phoneticPr fontId="3" type="noConversion"/>
  </si>
  <si>
    <r>
      <t xml:space="preserve">H42 </t>
    </r>
    <r>
      <rPr>
        <sz val="10"/>
        <rFont val="新細明體"/>
        <family val="1"/>
        <charset val="136"/>
      </rPr>
      <t>管理二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行銷、生管、資管、交管、作業研究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數量方法</t>
    </r>
    <r>
      <rPr>
        <sz val="10"/>
        <rFont val="Times New Roman"/>
        <family val="1"/>
      </rPr>
      <t>)</t>
    </r>
  </si>
  <si>
    <t>Contemporary Approaches and Strategies for Applied Logistics</t>
  </si>
  <si>
    <t>Wood, Lincoln C.</t>
  </si>
  <si>
    <t>http://services.igi-global.com/resolvedoi/resolve.aspx?doi=10.4018/978-1-5225-5273-4</t>
    <phoneticPr fontId="3" type="noConversion"/>
  </si>
  <si>
    <r>
      <t xml:space="preserve">H41 </t>
    </r>
    <r>
      <rPr>
        <sz val="10"/>
        <rFont val="新細明體"/>
        <family val="1"/>
        <charset val="136"/>
      </rPr>
      <t>管理一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人資、組織行為、策略管理、國企、醫管、科管</t>
    </r>
    <r>
      <rPr>
        <sz val="10"/>
        <rFont val="Times New Roman"/>
        <family val="1"/>
      </rPr>
      <t>)</t>
    </r>
  </si>
  <si>
    <t>Grassroots Sustainability Innovations in Sports Management: Emerging Research and Opportunities</t>
  </si>
  <si>
    <t>http://services.igi-global.com/resolvedoi/resolve.aspx?doi=10.4018/978-1-5225-3500-3</t>
    <phoneticPr fontId="3" type="noConversion"/>
  </si>
  <si>
    <t>Driving Traffic and Customer Activity Through Affiliate Marketing</t>
  </si>
  <si>
    <t>Singh, Surabhi</t>
  </si>
  <si>
    <t>http://services.igi-global.com/resolvedoi/resolve.aspx?doi=10.4018/978-1-5225-2656-8</t>
    <phoneticPr fontId="3" type="noConversion"/>
  </si>
  <si>
    <t>Leveraging Computer-Mediated Marketing Environments</t>
  </si>
  <si>
    <t>http://services.igi-global.com/resolvedoi/resolve.aspx?doi=10.4018/978-1-5225-7344-9</t>
    <phoneticPr fontId="3" type="noConversion"/>
  </si>
  <si>
    <t>The Circular Economy and Its Implications on Sustainability and the Green Supply Chain</t>
  </si>
  <si>
    <t>http://services.igi-global.com/resolvedoi/resolve.aspx?doi=10.4018/978-1-5225-8109-3</t>
    <phoneticPr fontId="3" type="noConversion"/>
  </si>
  <si>
    <t>Handbook of Research on Managerial Thinking in Global Business Economics</t>
  </si>
  <si>
    <t>Dinçer, Hasan</t>
  </si>
  <si>
    <t>http://services.igi-global.com/resolvedoi/resolve.aspx?doi=10.4018/978-1-5225-7180-3</t>
    <phoneticPr fontId="3" type="noConversion"/>
  </si>
  <si>
    <t>Human Rights, Public Values, and Leadership in Healthcare Policy</t>
  </si>
  <si>
    <t>http://services.igi-global.com/resolvedoi/resolve.aspx?doi=10.4018/978-1-5225-6133-0</t>
    <phoneticPr fontId="3" type="noConversion"/>
  </si>
  <si>
    <t>Advanced Online Education and Training Technologies</t>
  </si>
  <si>
    <t>http://services.igi-global.com/resolvedoi/resolve.aspx?doi=10.4018/978-1-5225-7010-3</t>
    <phoneticPr fontId="3" type="noConversion"/>
  </si>
  <si>
    <t>Global Challenges in Public Finance and International Relations</t>
  </si>
  <si>
    <t>Duran, Deniz Sahin</t>
  </si>
  <si>
    <t>http://services.igi-global.com/resolvedoi/resolve.aspx?doi=10.4018/978-1-5225-7564-1</t>
    <phoneticPr fontId="3" type="noConversion"/>
  </si>
  <si>
    <t>Strategic Marketing for Social Enterprises in Developing Nations</t>
  </si>
  <si>
    <t>Chiweshe, Nigel</t>
  </si>
  <si>
    <t>http://services.igi-global.com/resolvedoi/resolve.aspx?doi=10.4018/978-1-5225-7859-8</t>
    <phoneticPr fontId="3" type="noConversion"/>
  </si>
  <si>
    <r>
      <t xml:space="preserve">H40 </t>
    </r>
    <r>
      <rPr>
        <sz val="10"/>
        <rFont val="新細明體"/>
        <family val="1"/>
        <charset val="136"/>
      </rPr>
      <t>財金及會計</t>
    </r>
  </si>
  <si>
    <t>Metaheuristic Approaches to Portfolio Optimization</t>
  </si>
  <si>
    <t>Ray, Jhuma</t>
  </si>
  <si>
    <t>http://services.igi-global.com/resolvedoi/resolve.aspx?doi=10.4018/978-1-5225-8103-1</t>
    <phoneticPr fontId="3" type="noConversion"/>
  </si>
  <si>
    <t>Global Perspectives on Fostering Problem-Based Learning in Chinese Universities</t>
  </si>
  <si>
    <t>Zhu, Zhiliang</t>
  </si>
  <si>
    <t>http://services.igi-global.com/resolvedoi/resolve.aspx?doi=10.4018/978-1-5225-9961-6</t>
    <phoneticPr fontId="3" type="noConversion"/>
  </si>
  <si>
    <t>Handbook of Research on Faculty Development for Digital Teaching and Learning</t>
  </si>
  <si>
    <t>Elçi, Alev</t>
  </si>
  <si>
    <t>http://services.igi-global.com/resolvedoi/resolve.aspx?doi=10.4018/978-1-5225-8476-6</t>
    <phoneticPr fontId="3" type="noConversion"/>
  </si>
  <si>
    <t>Handbook of Research on Economic and Political Implications of Green Trading and Energy Use</t>
  </si>
  <si>
    <t>http://services.igi-global.com/resolvedoi/resolve.aspx?doi=10.4018/978-1-5225-8547-3</t>
    <phoneticPr fontId="3" type="noConversion"/>
  </si>
  <si>
    <t>Emerging Research on Monetary Policy, Banking, and Financial Markets</t>
  </si>
  <si>
    <t>Spulbar, Cristi</t>
  </si>
  <si>
    <t>http://services.igi-global.com/resolvedoi/resolve.aspx?doi=10.4018/978-1-5225-9269-3</t>
    <phoneticPr fontId="3" type="noConversion"/>
  </si>
  <si>
    <r>
      <t xml:space="preserve">H19 </t>
    </r>
    <r>
      <rPr>
        <sz val="10"/>
        <rFont val="新細明體"/>
        <family val="1"/>
        <charset val="136"/>
      </rPr>
      <t>傳播學</t>
    </r>
  </si>
  <si>
    <t>Handbook of Research on Deception, Fake News, and Misinformation Online</t>
  </si>
  <si>
    <t>Chiluwa, Innocent E.</t>
  </si>
  <si>
    <t>http://services.igi-global.com/resolvedoi/resolve.aspx?doi=10.4018/978-1-5225-8535-0</t>
    <phoneticPr fontId="3" type="noConversion"/>
  </si>
  <si>
    <t>Popular Representations of America in Non-American Media</t>
  </si>
  <si>
    <t>http://services.igi-global.com/resolvedoi/resolve.aspx?doi=10.4018/978-1-5225-9312-6</t>
    <phoneticPr fontId="3" type="noConversion"/>
  </si>
  <si>
    <r>
      <t xml:space="preserve">H04 </t>
    </r>
    <r>
      <rPr>
        <sz val="10"/>
        <rFont val="新細明體"/>
        <family val="1"/>
        <charset val="136"/>
      </rPr>
      <t>語言學</t>
    </r>
  </si>
  <si>
    <t>Applied Linguistics for Teachers of Culturally and Linguistically Diverse Learners</t>
  </si>
  <si>
    <t>Erdogan, Nabat</t>
  </si>
  <si>
    <t>http://services.igi-global.com/resolvedoi/resolve.aspx?doi=10.4018/978-1-5225-8467-4</t>
    <phoneticPr fontId="3" type="noConversion"/>
  </si>
  <si>
    <t>Legal, Safety, and Environmental Challenges for Event Management: Emerging Research and Opportunities</t>
  </si>
  <si>
    <t>http://services.igi-global.com/resolvedoi/resolve.aspx?doi=10.4018/978-1-7998-3230-0</t>
    <phoneticPr fontId="3" type="noConversion"/>
  </si>
  <si>
    <t>International Trade Policies in the Era of Globalization</t>
  </si>
  <si>
    <t>Özer, Ahu Coşkun</t>
  </si>
  <si>
    <t>http://services.igi-global.com/resolvedoi/resolve.aspx?doi=10.4018/978-1-5225-9566-3</t>
    <phoneticPr fontId="3" type="noConversion"/>
  </si>
  <si>
    <t>Cases on Learning Design and Human Performance Technology</t>
  </si>
  <si>
    <t>http://services.igi-global.com/resolvedoi/resolve.aspx?doi=10.4018/978-1-7998-0054-5</t>
    <phoneticPr fontId="3" type="noConversion"/>
  </si>
  <si>
    <t>Forensic Investigations and Risk Management in Mobile and Wireless Communications</t>
  </si>
  <si>
    <t>Sharma, Kavita</t>
  </si>
  <si>
    <t>http://services.igi-global.com/resolvedoi/resolve.aspx?doi=10.4018/978-1-5225-9554-0</t>
    <phoneticPr fontId="3" type="noConversion"/>
  </si>
  <si>
    <t>Migration and Urbanization: Local Solutions for Global Economic Challenges</t>
  </si>
  <si>
    <t>http://services.igi-global.com/resolvedoi/resolve.aspx?doi=10.4018/978-1-7998-0111-5</t>
    <phoneticPr fontId="3" type="noConversion"/>
  </si>
  <si>
    <t>Sharing Economy and the Impact of Collaborative Consumption</t>
  </si>
  <si>
    <t>Luna, Iviane Ramos de</t>
  </si>
  <si>
    <t>http://services.igi-global.com/resolvedoi/resolve.aspx?doi=10.4018/978-1-5225-9928-9</t>
    <phoneticPr fontId="3" type="noConversion"/>
  </si>
  <si>
    <t>Tools and Techniques for Implementing International E-Trading Tactics for Competitive Advantage</t>
  </si>
  <si>
    <t>Meral, Yurdagül</t>
  </si>
  <si>
    <t>http://services.igi-global.com/resolvedoi/resolve.aspx?doi=10.4018/978-1-7998-0035-4</t>
    <phoneticPr fontId="3" type="noConversion"/>
  </si>
  <si>
    <t>Handbook of Research on Retailing Techniques for Optimal Consumer Engagement and Experiences</t>
  </si>
  <si>
    <t>http://services.igi-global.com/resolvedoi/resolve.aspx?doi=10.4018/978-1-7998-1412-2</t>
    <phoneticPr fontId="3" type="noConversion"/>
  </si>
  <si>
    <t>Comparative Approaches to Old and New Institutional Economics</t>
  </si>
  <si>
    <t>Akansel, Ilkben</t>
  </si>
  <si>
    <t>http://services.igi-global.com/resolvedoi/resolve.aspx?doi=10.4018/978-1-7998-0333-1</t>
    <phoneticPr fontId="3" type="noConversion"/>
  </si>
  <si>
    <t>Handbook of Research on the Global Impact of Media on Migration Issues</t>
  </si>
  <si>
    <t>Okorie, Nelson</t>
  </si>
  <si>
    <t>http://services.igi-global.com/resolvedoi/resolve.aspx?doi=10.4018/978-1-7998-0210-5</t>
    <phoneticPr fontId="3" type="noConversion"/>
  </si>
  <si>
    <t>Social, Economic, and Environmental Impacts Between Sustainable Financial Systems and Financial Markets</t>
  </si>
  <si>
    <t>Ziolo, Magdalena</t>
  </si>
  <si>
    <t>http://services.igi-global.com/resolvedoi/resolve.aspx?doi=10.4018/978-1-7998-1033-9</t>
    <phoneticPr fontId="3" type="noConversion"/>
  </si>
  <si>
    <t>Applied Econometric Analysis: Emerging Research and Opportunities</t>
  </si>
  <si>
    <t>Sloboda, Brian W.</t>
  </si>
  <si>
    <t>http://services.igi-global.com/resolvedoi/resolve.aspx?doi=10.4018/978-1-7998-1093-3</t>
    <phoneticPr fontId="3" type="noConversion"/>
  </si>
  <si>
    <r>
      <t xml:space="preserve">HA3 </t>
    </r>
    <r>
      <rPr>
        <sz val="10"/>
        <rFont val="新細明體"/>
        <family val="1"/>
        <charset val="136"/>
      </rPr>
      <t>圖書資訊學</t>
    </r>
  </si>
  <si>
    <t>Handbook of Research on Digital Content Management and Development in Modern Libraries</t>
  </si>
  <si>
    <t>http://services.igi-global.com/resolvedoi/resolve.aspx?doi=10.4018/978-1-7998-2201-1</t>
    <phoneticPr fontId="3" type="noConversion"/>
  </si>
  <si>
    <t>Handbook of Research on Innovations in Technology and Marketing for the Connected Consumer</t>
  </si>
  <si>
    <t>Dadwal, Sumesh Singh</t>
  </si>
  <si>
    <t>http://services.igi-global.com/resolvedoi/resolve.aspx?doi=10.4018/978-1-7998-0131-3</t>
    <phoneticPr fontId="3" type="noConversion"/>
  </si>
  <si>
    <t>Handbook of Research on Emerging Trends and Technologies in Library and Information Science</t>
  </si>
  <si>
    <t>http://services.igi-global.com/resolvedoi/resolve.aspx?doi=10.4018/978-1-5225-9825-1</t>
    <phoneticPr fontId="3" type="noConversion"/>
  </si>
  <si>
    <t>Avatar-Based Models, Tools, and Innovation in the Digital Economy</t>
  </si>
  <si>
    <t>Mkrttchian, Vardan</t>
  </si>
  <si>
    <t>http://services.igi-global.com/resolvedoi/resolve.aspx?doi=10.4018/978-1-7998-1104-6</t>
    <phoneticPr fontId="3" type="noConversion"/>
  </si>
  <si>
    <t>Graphical Thinking for Science and Technology Through Knowledge Visualization</t>
  </si>
  <si>
    <t>http://services.igi-global.com/resolvedoi/resolve.aspx?doi=10.4018/978-1-7998-1651-5</t>
    <phoneticPr fontId="3" type="noConversion"/>
  </si>
  <si>
    <t>Handbook of Research on Agricultural Policy, Rural Development, and Entrepreneurship in Contemporary Economies</t>
  </si>
  <si>
    <t>Vasile, Andrei Jean</t>
  </si>
  <si>
    <t>http://services.igi-global.com/resolvedoi/resolve.aspx?doi=10.4018/978-1-5225-9837-4</t>
    <phoneticPr fontId="3" type="noConversion"/>
  </si>
  <si>
    <t>Fundamental and Supportive Technologies for 5G Mobile Networks</t>
  </si>
  <si>
    <t>ElKader, Sherine Mohamed Abd</t>
  </si>
  <si>
    <t>http://services.igi-global.com/resolvedoi/resolve.aspx?doi=10.4018/978-1-7998-1152-7</t>
    <phoneticPr fontId="3" type="noConversion"/>
  </si>
  <si>
    <t>Handbook of Research on Theory and Practice of Global Islamic Finance</t>
  </si>
  <si>
    <t>http://services.igi-global.com/resolvedoi/resolve.aspx?doi=10.4018/978-1-7998-0218-1</t>
    <phoneticPr fontId="3" type="noConversion"/>
  </si>
  <si>
    <t>Challenges and Impacts of Religious Endowments on Global Economics and Finance</t>
  </si>
  <si>
    <t>Saiti, Buerhan</t>
  </si>
  <si>
    <t>http://services.igi-global.com/resolvedoi/resolve.aspx?doi=10.4018/978-1-7998-1245-6</t>
    <phoneticPr fontId="3" type="noConversion"/>
  </si>
  <si>
    <t>Economics, Business, and Islamic Finance in ASEAN Economics Community</t>
  </si>
  <si>
    <t>http://services.igi-global.com/resolvedoi/resolve.aspx?doi=10.4018/978-1-7998-2257-8</t>
    <phoneticPr fontId="3" type="noConversion"/>
  </si>
  <si>
    <t>Inclusive Theory and Practice in Special Education</t>
  </si>
  <si>
    <t>Rensburg, Henriette van</t>
  </si>
  <si>
    <t>http://services.igi-global.com/resolvedoi/resolve.aspx?doi=10.4018/978-1-7998-2901-0</t>
    <phoneticPr fontId="3" type="noConversion"/>
  </si>
  <si>
    <t>Hospital Management and Emergency Medicine: Breakthroughs in Research and Practice</t>
  </si>
  <si>
    <t>http://services.igi-global.com/resolvedoi/resolve.aspx?doi=10.4018/978-1-7998-2451-0</t>
    <phoneticPr fontId="3" type="noConversion"/>
  </si>
  <si>
    <r>
      <t xml:space="preserve">H23 </t>
    </r>
    <r>
      <rPr>
        <sz val="10"/>
        <rFont val="新細明體"/>
        <family val="1"/>
        <charset val="136"/>
      </rPr>
      <t>藝術學</t>
    </r>
  </si>
  <si>
    <t>Cultural, Theoretical, and Innovative Approaches to Contemporary Interior Design</t>
  </si>
  <si>
    <t>http://services.igi-global.com/resolvedoi/resolve.aspx?doi=10.4018/978-1-7998-2823-5</t>
    <phoneticPr fontId="3" type="noConversion"/>
  </si>
  <si>
    <t>Emotional, Sensory, and Social Dimensions of Consumer Buying Behavior</t>
  </si>
  <si>
    <t>Soares, Ana Maria</t>
  </si>
  <si>
    <t>http://services.igi-global.com/resolvedoi/resolve.aspx?doi=10.4018/978-1-7998-2220-2</t>
    <phoneticPr fontId="3" type="noConversion"/>
  </si>
  <si>
    <t>Conceptual and Theoretical Approaches to Corporate Social Responsibility, Entrepreneurial Orientation, and Financial Performance</t>
  </si>
  <si>
    <t>Paiva, Inna Sousa</t>
  </si>
  <si>
    <t>http://services.igi-global.com/resolvedoi/resolve.aspx?doi=10.4018/978-1-7998-2128-1</t>
    <phoneticPr fontId="3" type="noConversion"/>
  </si>
  <si>
    <t>Destination Management and Marketing: Breakthroughs in Research and Practice</t>
  </si>
  <si>
    <t>http://services.igi-global.com/resolvedoi/resolve.aspx?doi=10.4018/978-1-7998-2469-5</t>
    <phoneticPr fontId="3" type="noConversion"/>
  </si>
  <si>
    <t>Internationalization of Library and Information Science Education in the Asia-Pacific Region</t>
  </si>
  <si>
    <t>Alenzuela, Reysa</t>
  </si>
  <si>
    <t>http://services.igi-global.com/resolvedoi/resolve.aspx?doi=10.4018/978-1-7998-2273-8</t>
    <phoneticPr fontId="3" type="noConversion"/>
  </si>
  <si>
    <t>Handbook of Research on Transmedia Storytelling, Audience Engagement, and Business Strategies</t>
  </si>
  <si>
    <t>Hernández-Santaolalla, Víctor</t>
  </si>
  <si>
    <t>http://services.igi-global.com/resolvedoi/resolve.aspx?doi=10.4018/978-1-7998-3119-8</t>
    <phoneticPr fontId="3" type="noConversion"/>
  </si>
  <si>
    <t>Future of Work, Work-Family Satisfaction, and Employee Well-Being in the Fourth Industrial Revolution</t>
  </si>
  <si>
    <t>Abe, Ethel Ndidiamaka</t>
  </si>
  <si>
    <t>http://services.igi-global.com/resolvedoi/resolve.aspx?doi=10.4018/978-1-7998-3347-5</t>
    <phoneticPr fontId="3" type="noConversion"/>
  </si>
  <si>
    <r>
      <t xml:space="preserve">H14 </t>
    </r>
    <r>
      <rPr>
        <sz val="10"/>
        <rFont val="新細明體"/>
        <family val="1"/>
        <charset val="136"/>
      </rPr>
      <t>政治學</t>
    </r>
  </si>
  <si>
    <t>Utilizing Decision Support Systems for Strategic Public Policy Planning</t>
  </si>
  <si>
    <t>Timoulali, Mohamed</t>
  </si>
  <si>
    <t>http://services.igi-global.com/resolvedoi/resolve.aspx?doi=10.4018/978-1-7998-1916-5</t>
    <phoneticPr fontId="3" type="noConversion"/>
  </si>
  <si>
    <t>Gamification Strategies for Retention, Motivation, and Engagement in Higher Education: Emerging Research and Opportunities</t>
  </si>
  <si>
    <t>http://services.igi-global.com/resolvedoi/resolve.aspx?doi=10.4018/978-1-7998-2079-6</t>
    <phoneticPr fontId="3" type="noConversion"/>
  </si>
  <si>
    <t>Developing Creative Economy through Disruptive Leadership: Emerging Research and Opportunities</t>
  </si>
  <si>
    <t>Tardif, Kristin Joyce</t>
    <phoneticPr fontId="3" type="noConversion"/>
  </si>
  <si>
    <t>http://services.igi-global.com/resolvedoi/resolve.aspx?doi=10.4018/978-1-7998-3416-8</t>
    <phoneticPr fontId="3" type="noConversion"/>
  </si>
  <si>
    <t>Multidisciplinary Perspectives on New Media Art</t>
  </si>
  <si>
    <t>Soares, Celia</t>
  </si>
  <si>
    <t>http://services.igi-global.com/resolvedoi/resolve.aspx?doi=10.4018/978-1-7998-3669-8</t>
    <phoneticPr fontId="3" type="noConversion"/>
  </si>
  <si>
    <t>Contemporary Art Impacts on Scientific, Social, and Cultural Paradigms: Emerging Research and Opportunities</t>
  </si>
  <si>
    <t>Strehovec, Janez</t>
  </si>
  <si>
    <t>http://services.igi-global.com/resolvedoi/resolve.aspx?doi=10.4018/978-1-7998-3835-7</t>
    <phoneticPr fontId="3" type="noConversion"/>
  </si>
  <si>
    <t>Well-Being Design and Frameworks for Interior Space</t>
  </si>
  <si>
    <t>Minucciani, Valeria</t>
  </si>
  <si>
    <t>http://services.igi-global.com/resolvedoi/resolve.aspx?doi=10.4018/978-1-7998-4231-6</t>
    <phoneticPr fontId="3" type="noConversion"/>
  </si>
  <si>
    <t>Digital Innovations for Customer Engagement, Management, and Organizational Improvement</t>
  </si>
  <si>
    <t>http://services.igi-global.com/resolvedoi/resolve.aspx?doi=10.4018/978-1-7998-5171-4</t>
    <phoneticPr fontId="3" type="noConversion"/>
  </si>
  <si>
    <t>Handbook of Research on Diversity and Social Justice in Higher Education</t>
  </si>
  <si>
    <t>http://services.igi-global.com/resolvedoi/resolve.aspx?doi=10.4018/978-1-7998-5268-1</t>
    <phoneticPr fontId="3" type="noConversion"/>
  </si>
  <si>
    <t>Corporate Leadership and Its Role in Shaping Organizational Culture and Performance</t>
  </si>
  <si>
    <t>Bejaoui, Azza</t>
  </si>
  <si>
    <t>http://services.igi-global.com/resolvedoi/resolve.aspx?doi=10.4018/978-1-5225-8266-3</t>
    <phoneticPr fontId="3" type="noConversion"/>
  </si>
  <si>
    <t>Innovative Perspectives on Interactive Communication Systems and Technologies</t>
  </si>
  <si>
    <t>http://services.igi-global.com/resolvedoi/resolve.aspx?doi=10.4018/978-1-7998-3355-0</t>
    <phoneticPr fontId="3" type="noConversion"/>
  </si>
  <si>
    <t>Cases on Performance Improvement Innovation</t>
  </si>
  <si>
    <t>Van Tiem, Darlene M.</t>
    <phoneticPr fontId="3" type="noConversion"/>
  </si>
  <si>
    <t>http://services.igi-global.com/resolvedoi/resolve.aspx?doi=10.4018/978-1-7998-3673-5</t>
    <phoneticPr fontId="3" type="noConversion"/>
  </si>
  <si>
    <t>Cultural Factors and Performance in 21st Century Businesses</t>
  </si>
  <si>
    <t>http://services.igi-global.com/resolvedoi/resolve.aspx?doi=10.4018/978-1-7998-3744-2</t>
    <phoneticPr fontId="3" type="noConversion"/>
  </si>
  <si>
    <t>Handbook of Research on User Experience in Web 2.0 Technologies and Its Impact on Universities and Businesses</t>
  </si>
  <si>
    <t>Pelet, Jean-Éric</t>
    <phoneticPr fontId="3" type="noConversion"/>
  </si>
  <si>
    <t>http://services.igi-global.com/resolvedoi/resolve.aspx?doi=10.4018/978-1-7998-3756-5</t>
    <phoneticPr fontId="3" type="noConversion"/>
  </si>
  <si>
    <t>Examining an Operational Approach to Teaching Probability</t>
  </si>
  <si>
    <t>Drivet, Alessio</t>
  </si>
  <si>
    <t>http://services.igi-global.com/resolvedoi/resolve.aspx?doi=10.4018/978-1-7998-3871-5</t>
    <phoneticPr fontId="3" type="noConversion"/>
  </si>
  <si>
    <t>Facilitating Adult and Organizational Learning Through Andragogy: A History, Philosophy, and Major Themes</t>
  </si>
  <si>
    <t>Henschke, John Arthur</t>
    <phoneticPr fontId="3" type="noConversion"/>
  </si>
  <si>
    <t>http://services.igi-global.com/resolvedoi/resolve.aspx?doi=10.4018/978-1-7998-3937-8</t>
    <phoneticPr fontId="3" type="noConversion"/>
  </si>
  <si>
    <t>4CID Model and Cognitive Approaches to Instructional Design and Technology: Emerging Research and Opportunities</t>
  </si>
  <si>
    <t>Miranda, Guilhermina Maria Lobato de</t>
  </si>
  <si>
    <t>http://services.igi-global.com/resolvedoi/resolve.aspx?doi=10.4018/978-1-7998-4096-1</t>
    <phoneticPr fontId="3" type="noConversion"/>
  </si>
  <si>
    <t>Handbook of Research on Multidisciplinary Approaches to Entrepreneurship, Innovation, and ICTs</t>
  </si>
  <si>
    <t>Carvalho, Luísa Cagica</t>
    <phoneticPr fontId="3" type="noConversion"/>
  </si>
  <si>
    <t>http://services.igi-global.com/resolvedoi/resolve.aspx?doi=10.4018/978-1-7998-4099-2</t>
    <phoneticPr fontId="3" type="noConversion"/>
  </si>
  <si>
    <t>Developing an Intercultural Responsive Leadership Style for Faculty and Administrators</t>
  </si>
  <si>
    <t>Spicer-Runnels, Ashley D.</t>
    <phoneticPr fontId="3" type="noConversion"/>
  </si>
  <si>
    <t>http://services.igi-global.com/resolvedoi/resolve.aspx?doi=10.4018/978-1-7998-4108-1</t>
    <phoneticPr fontId="3" type="noConversion"/>
  </si>
  <si>
    <r>
      <t xml:space="preserve">H17 </t>
    </r>
    <r>
      <rPr>
        <sz val="10"/>
        <rFont val="新細明體"/>
        <family val="1"/>
        <charset val="136"/>
      </rPr>
      <t>社會學</t>
    </r>
  </si>
  <si>
    <t>Cyber Security Auditing, Assurance, and Awareness Through CSAM and CATRAM: Emerging Research and Opportunities</t>
  </si>
  <si>
    <t>Sabillon, Regner</t>
  </si>
  <si>
    <t>http://services.igi-global.com/resolvedoi/resolve.aspx?doi=10.4018/978-1-7998-4162-3</t>
    <phoneticPr fontId="3" type="noConversion"/>
  </si>
  <si>
    <t>Transforming Human Resource Functions with Automation</t>
  </si>
  <si>
    <t>Pathak, Anchal</t>
  </si>
  <si>
    <t>http://services.igi-global.com/resolvedoi/resolve.aspx?doi=10.4018/978-1-7998-4180-7</t>
    <phoneticPr fontId="3" type="noConversion"/>
  </si>
  <si>
    <t>Natural Language Processing for Global and Local Business</t>
  </si>
  <si>
    <t>Pinarbași, Fatih</t>
  </si>
  <si>
    <t>http://services.igi-global.com/resolvedoi/resolve.aspx?doi=10.4018/978-1-7998-4240-8</t>
    <phoneticPr fontId="3" type="noConversion"/>
  </si>
  <si>
    <t>Qualitative Exploration of Grounded Theory in Organizational Research</t>
  </si>
  <si>
    <t>Ebrahimi, Maryam</t>
  </si>
  <si>
    <t>http://services.igi-global.com/resolvedoi/resolve.aspx?doi=10.4018/978-1-7998-4252-1</t>
    <phoneticPr fontId="3" type="noConversion"/>
  </si>
  <si>
    <t>Handbook of Research on Innovations in Non-Traditional Educational Practices</t>
  </si>
  <si>
    <t>http://services.igi-global.com/resolvedoi/resolve.aspx?doi=10.4018/978-1-7998-4360-3</t>
    <phoneticPr fontId="3" type="noConversion"/>
  </si>
  <si>
    <t>Fostering Innovation and Competitiveness with FinTech, RegTech, and SupTech</t>
  </si>
  <si>
    <t>Boitan, Iustina Alina</t>
    <phoneticPr fontId="3" type="noConversion"/>
  </si>
  <si>
    <t>http://services.igi-global.com/resolvedoi/resolve.aspx?doi=10.4018/978-1-7998-4390-0</t>
    <phoneticPr fontId="3" type="noConversion"/>
  </si>
  <si>
    <t>Handbook of Research on Sustainable Supply Chain Management for the Global Economy</t>
  </si>
  <si>
    <t>http://services.igi-global.com/resolvedoi/resolve.aspx?doi=10.4018/978-1-7998-4601-7</t>
    <phoneticPr fontId="3" type="noConversion"/>
  </si>
  <si>
    <r>
      <t xml:space="preserve">H05 </t>
    </r>
    <r>
      <rPr>
        <sz val="10"/>
        <rFont val="新細明體"/>
        <family val="1"/>
        <charset val="136"/>
      </rPr>
      <t>文學二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外國文學、性別研究、文化研究</t>
    </r>
    <r>
      <rPr>
        <sz val="10"/>
        <rFont val="Times New Roman"/>
        <family val="1"/>
      </rPr>
      <t>)</t>
    </r>
  </si>
  <si>
    <t>Immigrant Women's Voices and Integrating Feminism into Migration Theory</t>
  </si>
  <si>
    <t>Nyemba, Florence</t>
  </si>
  <si>
    <t>http://services.igi-global.com/resolvedoi/resolve.aspx?doi=10.4018/978-1-7998-4664-2</t>
    <phoneticPr fontId="3" type="noConversion"/>
  </si>
  <si>
    <t>Using Literature to Teach English as a Second Language</t>
  </si>
  <si>
    <t>Membrive, Veronica</t>
  </si>
  <si>
    <t>http://services.igi-global.com/resolvedoi/resolve.aspx?doi=10.4018/978-1-7998-4670-3</t>
    <phoneticPr fontId="3" type="noConversion"/>
  </si>
  <si>
    <t>Disciplinary Literacy Connections to Popular Culture in K-12 Settings</t>
  </si>
  <si>
    <t>Haas, Leslie</t>
  </si>
  <si>
    <t>http://services.igi-global.com/resolvedoi/resolve.aspx?doi=10.4018/978-1-7998-4721-2</t>
    <phoneticPr fontId="3" type="noConversion"/>
  </si>
  <si>
    <t>Implementation Strategies for Improving Diversity in Organizations</t>
  </si>
  <si>
    <t>http://services.igi-global.com/resolvedoi/resolve.aspx?doi=10.4018/978-1-7998-4745-8</t>
    <phoneticPr fontId="3" type="noConversion"/>
  </si>
  <si>
    <t>International Perspectives on Rethinking Evil in Film and Television</t>
  </si>
  <si>
    <t>Tüysüz, Dilan</t>
  </si>
  <si>
    <t>http://services.igi-global.com/resolvedoi/resolve.aspx?doi=10.4018/978-1-7998-4778-6</t>
    <phoneticPr fontId="3" type="noConversion"/>
  </si>
  <si>
    <t>Machine Learning Applications for Accounting Disclosure and Fraud Detection</t>
  </si>
  <si>
    <t>Papadakis, Stylianos</t>
  </si>
  <si>
    <t>http://services.igi-global.com/resolvedoi/resolve.aspx?doi=10.4018/978-1-7998-4805-9</t>
    <phoneticPr fontId="3" type="noConversion"/>
  </si>
  <si>
    <t>Handbook of Research on Nascent Entrepreneurship and Creating New Ventures</t>
  </si>
  <si>
    <t>Moreira, António Carrizo</t>
    <phoneticPr fontId="3" type="noConversion"/>
  </si>
  <si>
    <t>http://services.igi-global.com/resolvedoi/resolve.aspx?doi=10.4018/978-1-7998-4826-4</t>
    <phoneticPr fontId="3" type="noConversion"/>
  </si>
  <si>
    <t>Fostering Communication and Learning with Underutilized Technologies in Higher Education</t>
  </si>
  <si>
    <t xml:space="preserve">Ali, Mohammed Banu </t>
    <phoneticPr fontId="3" type="noConversion"/>
  </si>
  <si>
    <t>http://services.igi-global.com/resolvedoi/resolve.aspx?doi=10.4018/978-1-7998-4846-2</t>
    <phoneticPr fontId="3" type="noConversion"/>
  </si>
  <si>
    <t>Multifaceted Strategies for Social-Emotional Learning and Whole Learner Education</t>
  </si>
  <si>
    <t>McCray, Carissa</t>
  </si>
  <si>
    <t>http://services.igi-global.com/resolvedoi/resolve.aspx?doi=10.4018/978-1-7998-4906-3</t>
    <phoneticPr fontId="3" type="noConversion"/>
  </si>
  <si>
    <t>Handbook of Research on Cyberbullying and Online Harassment in the Workplace</t>
  </si>
  <si>
    <t>Salazar, Leslie Ramos</t>
  </si>
  <si>
    <t>http://services.igi-global.com/resolvedoi/resolve.aspx?doi=10.4018/978-1-7998-4912-4</t>
    <phoneticPr fontId="3" type="noConversion"/>
  </si>
  <si>
    <t>Impact of ICTs on Event Management and Marketing</t>
  </si>
  <si>
    <t>Birdir, Kemal</t>
  </si>
  <si>
    <t>http://services.igi-global.com/resolvedoi/resolve.aspx?doi=10.4018/978-1-7998-4954-4</t>
    <phoneticPr fontId="3" type="noConversion"/>
  </si>
  <si>
    <t>Current and Prospective Applications of Virtual Reality in Higher Education</t>
  </si>
  <si>
    <t xml:space="preserve">Choi, Dong Hwa </t>
    <phoneticPr fontId="3" type="noConversion"/>
  </si>
  <si>
    <t>http://services.igi-global.com/resolvedoi/resolve.aspx?doi=10.4018/978-1-7998-4960-5</t>
    <phoneticPr fontId="3" type="noConversion"/>
  </si>
  <si>
    <t>Processual Perspectives on the CoProduction Turn in Public Sector Organizations</t>
  </si>
  <si>
    <t>Thomassen, Anja Overgaard</t>
    <phoneticPr fontId="3" type="noConversion"/>
  </si>
  <si>
    <t>http://services.igi-global.com/resolvedoi/resolve.aspx?doi=10.4018/978-1-7998-4975-9</t>
    <phoneticPr fontId="3" type="noConversion"/>
  </si>
  <si>
    <t>Quality Management for Competitive Advantage in Global Markets</t>
    <phoneticPr fontId="3" type="noConversion"/>
  </si>
  <si>
    <t>Saiz-Alvarez, José Manuel</t>
  </si>
  <si>
    <t>http://services.igi-global.com/resolvedoi/resolve.aspx?doi=10.4018/978-1-7998-5036-6</t>
    <phoneticPr fontId="3" type="noConversion"/>
  </si>
  <si>
    <t>Impacts and Challenges of Cloud Business Intelligence</t>
  </si>
  <si>
    <t>http://services.igi-global.com/resolvedoi/resolve.aspx?doi=10.4018/978-1-7998-5040-3</t>
    <phoneticPr fontId="3" type="noConversion"/>
  </si>
  <si>
    <t>Designing, Deploying, and Evaluating Virtual and Augmented Reality in Education</t>
  </si>
  <si>
    <t>Akcayir, Gokce</t>
  </si>
  <si>
    <t>http://services.igi-global.com/resolvedoi/resolve.aspx?doi=10.4018/978-1-7998-5043-4</t>
    <phoneticPr fontId="3" type="noConversion"/>
  </si>
  <si>
    <t>Early Warning Systems and Targeted Interventions for Student Success in Online Courses</t>
  </si>
  <si>
    <t>Glick, Danny</t>
  </si>
  <si>
    <t>http://services.igi-global.com/resolvedoi/resolve.aspx?doi=10.4018/978-1-7998-5074-8</t>
    <phoneticPr fontId="3" type="noConversion"/>
  </si>
  <si>
    <t>Professional and Ethical Consideration for Early Childhood Leaders</t>
  </si>
  <si>
    <t>Cunningham, Denise D.</t>
    <phoneticPr fontId="3" type="noConversion"/>
  </si>
  <si>
    <t>http://services.igi-global.com/resolvedoi/resolve.aspx?doi=10.4018/978-1-7998-5089-2</t>
    <phoneticPr fontId="3" type="noConversion"/>
  </si>
  <si>
    <t>Connecting Disciplinary Literacy and Digital Storytelling in K-12 Education</t>
  </si>
  <si>
    <t>http://services.igi-global.com/resolvedoi/resolve.aspx?doi=10.4018/978-1-7998-5770-9</t>
    <phoneticPr fontId="3" type="noConversion"/>
  </si>
  <si>
    <t>Handbook of Research on Contemporary Storytelling Methods Across New Media and Disciplines</t>
  </si>
  <si>
    <t>Mihăeş, Lorena Clara</t>
  </si>
  <si>
    <t>http://services.igi-global.com/resolvedoi/resolve.aspx?doi=10.4018/978-1-7998-6605-3</t>
    <phoneticPr fontId="3" type="noConversion"/>
  </si>
  <si>
    <t>Affordances and Constraints of Mobile Phone Use in English Language Arts Classrooms</t>
  </si>
  <si>
    <t>Moran, Clarice M.</t>
  </si>
  <si>
    <t>http://services.igi-global.com/resolvedoi/resolve.aspx?doi=10.4018/978-1-7998-5805-8</t>
    <phoneticPr fontId="3" type="noConversion"/>
  </si>
  <si>
    <t>Transforming Corporate Governance and Developing Models for Board Effectiveness</t>
  </si>
  <si>
    <t>Yasser, Qaiser Rafique</t>
  </si>
  <si>
    <t>http://services.igi-global.com/resolvedoi/resolve.aspx?doi=10.4018/978-1-7998-6669-5</t>
    <phoneticPr fontId="3" type="noConversion"/>
  </si>
  <si>
    <t>Futuristic and Linguistic Perspectives on Teaching Writing to Second Language Students</t>
  </si>
  <si>
    <t>Hancı-Azizoglu, Eda Başak</t>
  </si>
  <si>
    <t>http://services.igi-global.com/resolvedoi/resolve.aspx?doi=10.4018/978-1-7998-6508-7</t>
    <phoneticPr fontId="3" type="noConversion"/>
  </si>
  <si>
    <t>Influence of FinTech on Management Transformation</t>
  </si>
  <si>
    <t>Sghari, Amira</t>
  </si>
  <si>
    <t>http://services.igi-global.com/resolvedoi/resolve.aspx?doi=10.4018/978-1-7998-7110-1</t>
    <phoneticPr fontId="3" type="noConversion"/>
  </si>
  <si>
    <t>Handbook of Research on Translating Myth and Reality in Women Imagery Across Disciplines</t>
  </si>
  <si>
    <t>Ciolăneanu, Roxana</t>
  </si>
  <si>
    <t>http://services.igi-global.com/resolvedoi/resolve.aspx?doi=10.4018/978-1-7998-6458-5</t>
    <phoneticPr fontId="3" type="noConversion"/>
  </si>
  <si>
    <t>Global Perspectives on Home Education in the 21st Century</t>
  </si>
  <si>
    <t>http://services.igi-global.com/resolvedoi/resolve.aspx?doi=10.4018/978-1-7998-6681-7</t>
    <phoneticPr fontId="3" type="noConversion"/>
  </si>
  <si>
    <t>Education and Technology Support for Children and Young Adults With ASD and Learning Disabilities</t>
  </si>
  <si>
    <t>http://services.igi-global.com/resolvedoi/resolve.aspx?doi=10.4018/978-1-7998-7053-1</t>
    <phoneticPr fontId="3" type="noConversion"/>
  </si>
  <si>
    <t>Rural Entrepreneurship and Innovation in the Digital Era</t>
  </si>
  <si>
    <t>Lokuge, Sachithra</t>
  </si>
  <si>
    <t>http://services.igi-global.com/resolvedoi/resolve.aspx?doi=10.4018/978-1-7998-4942-1</t>
    <phoneticPr fontId="3" type="noConversion"/>
  </si>
  <si>
    <t>Cross-Border E-Commerce Marketing and Management</t>
  </si>
  <si>
    <t>Hoque, Md. Rakibul</t>
  </si>
  <si>
    <t>http://services.igi-global.com/resolvedoi/resolve.aspx?doi=10.4018/978-1-7998-5823-2</t>
    <phoneticPr fontId="3" type="noConversion"/>
  </si>
  <si>
    <t>Introducing Problem-Based Learning (PBL) for Creativity and Innovation in Chinese Universities: Emerging Research and Opportunities</t>
  </si>
  <si>
    <t>Zhou, Chunfang</t>
  </si>
  <si>
    <t>http://services.igi-global.com/resolvedoi/resolve.aspx?doi=10.4018/978-1-7998-3527-1</t>
    <phoneticPr fontId="3" type="noConversion"/>
  </si>
  <si>
    <t>Interdisciplinary Perspectives on Operations Management and Service Evaluation</t>
  </si>
  <si>
    <t>http://services.igi-global.com/resolvedoi/resolve.aspx?doi=10.4018/978-1-7998-5442-5</t>
    <phoneticPr fontId="3" type="noConversion"/>
  </si>
  <si>
    <t>Redesigning Teaching, Leadership, and Indigenous Education in the 21st Century</t>
  </si>
  <si>
    <t>Roberts, Leesha Nicole</t>
  </si>
  <si>
    <t>http://services.igi-global.com/resolvedoi/resolve.aspx?doi=10.4018/978-1-7998-5557-6</t>
    <phoneticPr fontId="3" type="noConversion"/>
  </si>
  <si>
    <t>Advancing Online Course Design and Pedagogy for the 21st Century Learning Environment</t>
  </si>
  <si>
    <t>Chatham, Daniel</t>
  </si>
  <si>
    <t>http://services.igi-global.com/resolvedoi/resolve.aspx?doi=10.4018/978-1-7998-5598-9</t>
    <phoneticPr fontId="3" type="noConversion"/>
  </si>
  <si>
    <t>Ethical Research Approaches to Indigenous Knowledge Education</t>
  </si>
  <si>
    <t>Mthembu, Ntokozo</t>
  </si>
  <si>
    <t>http://services.igi-global.com/resolvedoi/resolve.aspx?doi=10.4018/978-1-7998-1249-4</t>
    <phoneticPr fontId="3" type="noConversion"/>
  </si>
  <si>
    <t>Computer-Based Mathematics Education and the Use of MatCos Software in Primary and Secondary Schools</t>
  </si>
  <si>
    <t>Costabile, Francesco Aldo</t>
  </si>
  <si>
    <t>http://services.igi-global.com/resolvedoi/resolve.aspx?doi=10.4018/978-1-7998-5718-1</t>
    <phoneticPr fontId="3" type="noConversion"/>
  </si>
  <si>
    <t>Advancing Innovation and Sustainable Outcomes in International Graduate Education</t>
  </si>
  <si>
    <t>Gurubatham, Mohan Raj</t>
  </si>
  <si>
    <t>http://services.igi-global.com/resolvedoi/resolve.aspx?doi=10.4018/978-1-7998-5514-9</t>
    <phoneticPr fontId="3" type="noConversion"/>
  </si>
  <si>
    <t>Describing Nature Through Visual Data</t>
  </si>
  <si>
    <t>http://services.igi-global.com/resolvedoi/resolve.aspx?doi=10.4018/978-1-7998-5753-2</t>
    <phoneticPr fontId="3" type="noConversion"/>
  </si>
  <si>
    <r>
      <t xml:space="preserve">B1020D9 </t>
    </r>
    <r>
      <rPr>
        <sz val="10"/>
        <rFont val="新細明體"/>
        <family val="1"/>
        <charset val="136"/>
      </rPr>
      <t>牙醫學</t>
    </r>
  </si>
  <si>
    <t>Computational Techniques for Dental Image Analysis</t>
  </si>
  <si>
    <t>Kamalanand, K.</t>
  </si>
  <si>
    <t>http://services.igi-global.com/resolvedoi/resolve.aspx?doi=10.4018/978-1-5225-6243-6</t>
    <phoneticPr fontId="3" type="noConversion"/>
  </si>
  <si>
    <r>
      <t xml:space="preserve">B101010 </t>
    </r>
    <r>
      <rPr>
        <sz val="10"/>
        <rFont val="新細明體"/>
        <family val="1"/>
        <charset val="136"/>
      </rPr>
      <t>醫學工程</t>
    </r>
  </si>
  <si>
    <t>Computational Methods and Algorithms for Medicine and Optimized Clinical Practice</t>
  </si>
  <si>
    <t>Chui, Kwok Tai</t>
  </si>
  <si>
    <t>http://services.igi-global.com/resolvedoi/resolve.aspx?doi=10.4018/978-1-5225-8244-1</t>
    <phoneticPr fontId="3" type="noConversion"/>
  </si>
  <si>
    <r>
      <t xml:space="preserve">B3010E0 </t>
    </r>
    <r>
      <rPr>
        <sz val="10"/>
        <rFont val="新細明體"/>
        <family val="1"/>
        <charset val="136"/>
      </rPr>
      <t>食品及農化</t>
    </r>
  </si>
  <si>
    <t>IoT and WSN Applications for Modern Agricultural Advancements</t>
  </si>
  <si>
    <t>Mukherjee, Proshikshya</t>
  </si>
  <si>
    <t>http://services.igi-global.com/resolvedoi/resolve.aspx?doi=10.4018/978-1-5225-9004-0</t>
    <phoneticPr fontId="3" type="noConversion"/>
  </si>
  <si>
    <t>Smart Medical Data Sensing and IoT Systems Design in Healthcare</t>
  </si>
  <si>
    <t>Chakraborty, Chinmay</t>
  </si>
  <si>
    <t>http://services.igi-global.com/resolvedoi/resolve.aspx?doi=10.4018/978-1-7998-0261-7</t>
    <phoneticPr fontId="3" type="noConversion"/>
  </si>
  <si>
    <r>
      <t xml:space="preserve">B1020A9 </t>
    </r>
    <r>
      <rPr>
        <sz val="10"/>
        <rFont val="新細明體"/>
        <family val="1"/>
        <charset val="136"/>
      </rPr>
      <t>神經內科</t>
    </r>
  </si>
  <si>
    <t>Alternative Pain Management: Solutions for Avoiding Prescription Drug Overuse</t>
  </si>
  <si>
    <t>http://services.igi-global.com/resolvedoi/resolve.aspx?doi=10.4018/978-1-7998-1680-5</t>
    <phoneticPr fontId="3" type="noConversion"/>
  </si>
  <si>
    <t>Data Analytics in Medicine: Concepts, Methodologies, Tools, and Applications</t>
  </si>
  <si>
    <r>
      <rPr>
        <sz val="10"/>
        <color indexed="10"/>
        <rFont val="新細明體"/>
        <family val="1"/>
        <charset val="136"/>
      </rPr>
      <t>共</t>
    </r>
    <r>
      <rPr>
        <sz val="10"/>
        <color indexed="10"/>
        <rFont val="Times New Roman"/>
        <family val="1"/>
      </rPr>
      <t>4</t>
    </r>
    <r>
      <rPr>
        <sz val="10"/>
        <color indexed="10"/>
        <rFont val="新細明體"/>
        <family val="1"/>
        <charset val="136"/>
      </rPr>
      <t>冊</t>
    </r>
    <phoneticPr fontId="3" type="noConversion"/>
  </si>
  <si>
    <t>http://services.igi-global.com/resolvedoi/resolve.aspx?doi=10.4018/978-1-7998-1204-3</t>
    <phoneticPr fontId="3" type="noConversion"/>
  </si>
  <si>
    <r>
      <t xml:space="preserve">SSS05 </t>
    </r>
    <r>
      <rPr>
        <sz val="10"/>
        <rFont val="新細明體"/>
        <family val="1"/>
        <charset val="136"/>
      </rPr>
      <t>醫學教育</t>
    </r>
  </si>
  <si>
    <t>Handbook of Research on the Efficacy of Training Programs and Systems in Medical Education</t>
  </si>
  <si>
    <t>Gotian, Ruth</t>
  </si>
  <si>
    <t>http://services.igi-global.com/resolvedoi/resolve.aspx?doi=10.4018/978-1-7998-1468-9</t>
    <phoneticPr fontId="3" type="noConversion"/>
  </si>
  <si>
    <t>Artificial Intelligence and IoT-Based Technologies for Sustainable Farming and Smart Agriculture</t>
    <phoneticPr fontId="3" type="noConversion"/>
  </si>
  <si>
    <t>http://services.igi-global.com/resolvedoi/resolve.aspx?doi=10.4018/978-1-7998-1722-2</t>
    <phoneticPr fontId="3" type="noConversion"/>
  </si>
  <si>
    <t>Communicating Rare Diseases and Disorders in the Digital Age</t>
  </si>
  <si>
    <t>Costa, Liliana Vale</t>
  </si>
  <si>
    <t>http://services.igi-global.com/resolvedoi/resolve.aspx?doi=10.4018/978-1-7998-2088-8</t>
    <phoneticPr fontId="3" type="noConversion"/>
  </si>
  <si>
    <t>Applications of Deep Learning and Big IoT on Personalized Healthcare Services</t>
  </si>
  <si>
    <t>Wason, Ritika</t>
  </si>
  <si>
    <t>http://services.igi-global.com/resolvedoi/resolve.aspx?doi=10.4018/978-1-7998-2101-4</t>
    <phoneticPr fontId="3" type="noConversion"/>
  </si>
  <si>
    <t>Mobile Devices and Smart Gadgets in Medical Sciences</t>
  </si>
  <si>
    <t>Umair, Sajid</t>
  </si>
  <si>
    <t>http://services.igi-global.com/resolvedoi/resolve.aspx?doi=10.4018/978-1-7998-2521-0</t>
    <phoneticPr fontId="3" type="noConversion"/>
  </si>
  <si>
    <t>Handbook of Research on Advancements of Artificial Intelligence in Healthcare Engineering</t>
  </si>
  <si>
    <t>Sisodia, Dilip Singh</t>
  </si>
  <si>
    <t>http://services.igi-global.com/resolvedoi/resolve.aspx?doi=10.4018/978-1-7998-2120-5</t>
    <phoneticPr fontId="3" type="noConversion"/>
  </si>
  <si>
    <t>Building a Patient-Centered Interprofessional Education Program</t>
  </si>
  <si>
    <t>Waldman, Steven D.</t>
  </si>
  <si>
    <t>http://services.igi-global.com/resolvedoi/resolve.aspx?doi=10.4018/978-1-7998-3066-5</t>
    <phoneticPr fontId="3" type="noConversion"/>
  </si>
  <si>
    <t>Computational Intelligence and Soft Computing Applications in Healthcare Management Science</t>
  </si>
  <si>
    <t>Gul, Muhammet</t>
  </si>
  <si>
    <t>http://services.igi-global.com/resolvedoi/resolve.aspx?doi=10.4018/978-1-7998-2581-4</t>
    <phoneticPr fontId="3" type="noConversion"/>
  </si>
  <si>
    <r>
      <t xml:space="preserve">B1030B0 </t>
    </r>
    <r>
      <rPr>
        <sz val="10"/>
        <rFont val="新細明體"/>
        <family val="1"/>
        <charset val="136"/>
      </rPr>
      <t>中醫藥</t>
    </r>
  </si>
  <si>
    <t>Ethnomedicinal Plant Use and Practice in Traditional Medicine</t>
  </si>
  <si>
    <t>Akash</t>
  </si>
  <si>
    <t>http://services.igi-global.com/resolvedoi/resolve.aspx?doi=10.4018/978-1-7998-1320-0</t>
    <phoneticPr fontId="3" type="noConversion"/>
  </si>
  <si>
    <r>
      <t xml:space="preserve">B101009 </t>
    </r>
    <r>
      <rPr>
        <sz val="10"/>
        <rFont val="新細明體"/>
        <family val="1"/>
        <charset val="136"/>
      </rPr>
      <t>公共衛生及環境醫學</t>
    </r>
  </si>
  <si>
    <t>Biopsychosocial Perspectives and Practices for Addressing Communicable and Non-Communicable Diseases</t>
  </si>
  <si>
    <t>http://services.igi-global.com/resolvedoi/resolve.aspx?doi=10.4018/978-1-7998-2139-7</t>
    <phoneticPr fontId="3" type="noConversion"/>
  </si>
  <si>
    <t>Handbook of Research on Disease Prediction Through Data Analytics and Machine Learning</t>
  </si>
  <si>
    <t>Rani, Geeta</t>
  </si>
  <si>
    <t>http://services.igi-global.com/resolvedoi/resolve.aspx?doi=10.4018/978-1-7998-2742-9</t>
    <phoneticPr fontId="3" type="noConversion"/>
  </si>
  <si>
    <r>
      <t xml:space="preserve">B1020D8 </t>
    </r>
    <r>
      <rPr>
        <sz val="10"/>
        <rFont val="新細明體"/>
        <family val="1"/>
        <charset val="136"/>
      </rPr>
      <t>復健科</t>
    </r>
  </si>
  <si>
    <t>Handbook of Research on Evidence-Based Perspectives on the Psychophysiology of Yoga and Its Applications</t>
  </si>
  <si>
    <t>http://services.igi-global.com/resolvedoi/resolve.aspx?doi=10.4018/978-1-7998-3254-6</t>
    <phoneticPr fontId="3" type="noConversion"/>
  </si>
  <si>
    <r>
      <t xml:space="preserve">B101008 </t>
    </r>
    <r>
      <rPr>
        <sz val="10"/>
        <rFont val="新細明體"/>
        <family val="1"/>
        <charset val="136"/>
      </rPr>
      <t>保健營養</t>
    </r>
  </si>
  <si>
    <t>Role of Nutrition in Providing Pro-/Anti-Inflammatory Balance: Emerging Research and Opportunities</t>
  </si>
  <si>
    <t>Günşen, Uğur</t>
  </si>
  <si>
    <t>http://services.igi-global.com/resolvedoi/resolve.aspx?doi=10.4018/978-1-7998-3594-3</t>
    <phoneticPr fontId="3" type="noConversion"/>
  </si>
  <si>
    <t>Research Anthology on Rehabilitation Practices and Therapy </t>
  </si>
  <si>
    <t>http://services.igi-global.com/resolvedoi/resolve.aspx?doi=10.4018/978-1-7998-3432-8</t>
    <phoneticPr fontId="3" type="noConversion"/>
  </si>
  <si>
    <t>Precision Agriculture Technologies for Food Security and Sustainability</t>
  </si>
  <si>
    <t>Abd El-Kader, Sherine M.</t>
  </si>
  <si>
    <t>http://services.igi-global.com/resolvedoi/resolve.aspx?doi=10.4018/978-1-7998-5000-7</t>
    <phoneticPr fontId="3" type="noConversion"/>
  </si>
  <si>
    <t>Molecular Plant Breeding and Genome Editing Tools for Crop Improvement</t>
  </si>
  <si>
    <t>Deka, Pradip Chandra</t>
  </si>
  <si>
    <t>http://services.igi-global.com/resolvedoi/resolve.aspx?doi=10.4018/978-1-7998-4312-2</t>
    <phoneticPr fontId="3" type="noConversion"/>
  </si>
  <si>
    <t>Treating Endocrine and Metabolic Disorders with Herbal Medicines</t>
  </si>
  <si>
    <t>Hussain, Arif</t>
  </si>
  <si>
    <t>http://services.igi-global.com/resolvedoi/resolve.aspx?doi=10.4018/978-1-7998-4808-0</t>
    <phoneticPr fontId="3" type="noConversion"/>
  </si>
  <si>
    <t>Diagnostic Applications of Health Intelligence and Surveillance Systems</t>
  </si>
  <si>
    <t>Yadav, Divakar</t>
  </si>
  <si>
    <t>http://services.igi-global.com/resolvedoi/resolve.aspx?doi=10.4018/978-1-7998-6527-8</t>
    <phoneticPr fontId="3" type="noConversion"/>
  </si>
  <si>
    <r>
      <t xml:space="preserve">B1020A8 </t>
    </r>
    <r>
      <rPr>
        <sz val="10"/>
        <rFont val="新細明體"/>
        <family val="1"/>
        <charset val="136"/>
      </rPr>
      <t>血液科腫瘤科風濕免疫及感染</t>
    </r>
  </si>
  <si>
    <t>Handbook of Research on Advancements in Cancer Therapeutics</t>
  </si>
  <si>
    <t>Kumar, Sumit</t>
  </si>
  <si>
    <t>http://services.igi-global.com/resolvedoi/resolve.aspx?doi=10.4018/978-1-7998-6530-8</t>
    <phoneticPr fontId="3" type="noConversion"/>
  </si>
  <si>
    <r>
      <t xml:space="preserve">B1020B2 </t>
    </r>
    <r>
      <rPr>
        <sz val="10"/>
        <rFont val="新細明體"/>
        <family val="1"/>
        <charset val="136"/>
      </rPr>
      <t>精神科</t>
    </r>
  </si>
  <si>
    <t>New Developments in Diagnosing, Assessing, and Treating ADHD</t>
  </si>
  <si>
    <t>http://services.igi-global.com/resolvedoi/resolve.aspx?doi=10.4018/978-1-7998-5495-1</t>
    <phoneticPr fontId="3" type="noConversion"/>
  </si>
  <si>
    <r>
      <t xml:space="preserve">B1020D4 </t>
    </r>
    <r>
      <rPr>
        <sz val="10"/>
        <rFont val="新細明體"/>
        <family val="1"/>
        <charset val="136"/>
      </rPr>
      <t>耳鼻喉科</t>
    </r>
  </si>
  <si>
    <t>Diagnostic Techniques and Therapeutic Strategies for Parotid Gland Disorders</t>
  </si>
  <si>
    <t>Sakr, Mahmoud</t>
  </si>
  <si>
    <t>http://services.igi-global.com/resolvedoi/resolve.aspx?doi=10.4018/978-1-7998-5603-0</t>
    <phoneticPr fontId="3" type="noConversion"/>
  </si>
  <si>
    <r>
      <t xml:space="preserve">E08 </t>
    </r>
    <r>
      <rPr>
        <sz val="10"/>
        <rFont val="新細明體"/>
        <family val="1"/>
        <charset val="136"/>
      </rPr>
      <t>資訊</t>
    </r>
  </si>
  <si>
    <t>Improving Information Security Practices through Computational Intelligence</t>
  </si>
  <si>
    <t>Awad, Wasan Shaker</t>
  </si>
  <si>
    <t>http://services.igi-global.com/resolvedoi/resolve.aspx?doi=10.4018/978-1-4666-9426-2</t>
    <phoneticPr fontId="3" type="noConversion"/>
  </si>
  <si>
    <t>Web Usage Mining Techniques and Applications Across Industries</t>
  </si>
  <si>
    <t>http://services.igi-global.com/resolvedoi/resolve.aspx?doi=10.4018/978-1-5225-0613-3</t>
    <phoneticPr fontId="3" type="noConversion"/>
  </si>
  <si>
    <r>
      <t xml:space="preserve">E11 </t>
    </r>
    <r>
      <rPr>
        <sz val="10"/>
        <rFont val="新細明體"/>
        <family val="1"/>
        <charset val="136"/>
      </rPr>
      <t>環境工程</t>
    </r>
  </si>
  <si>
    <t>Biostimulation Remediation Technologies for Groundwater Contaminants</t>
  </si>
  <si>
    <t>http://services.igi-global.com/resolvedoi/resolve.aspx?doi=10.4018/978-1-5225-4162-2</t>
    <phoneticPr fontId="3" type="noConversion"/>
  </si>
  <si>
    <t>Optimizing Contemporary Application and Processes in Open Source Software</t>
  </si>
  <si>
    <t>http://services.igi-global.com/resolvedoi/resolve.aspx?doi=10.4018/978-1-5225-5314-4</t>
    <phoneticPr fontId="3" type="noConversion"/>
  </si>
  <si>
    <t>Microbial Biotechnology in Environmental Monitoring and Cleanup</t>
  </si>
  <si>
    <t>Pankaj</t>
  </si>
  <si>
    <t>http://services.igi-global.com/resolvedoi/resolve.aspx?doi=10.4018/978-1-5225-3126-5</t>
    <phoneticPr fontId="3" type="noConversion"/>
  </si>
  <si>
    <t>Web Services: Concepts, Methodologies, Tools, and Applications</t>
  </si>
  <si>
    <t>http://services.igi-global.com/resolvedoi/resolve.aspx?doi=10.4018/978-1-5225-7501-6</t>
    <phoneticPr fontId="3" type="noConversion"/>
  </si>
  <si>
    <r>
      <t xml:space="preserve">E01 </t>
    </r>
    <r>
      <rPr>
        <sz val="10"/>
        <rFont val="新細明體"/>
        <family val="1"/>
        <charset val="136"/>
      </rPr>
      <t>機械固力</t>
    </r>
  </si>
  <si>
    <t>Design, Development, and Optimization of Bio-Mechatronic Engineering Products</t>
  </si>
  <si>
    <t>Kumar, Kaushik</t>
  </si>
  <si>
    <t>http://services.igi-global.com/resolvedoi/resolve.aspx?doi=10.4018/978-1-5225-8235-9</t>
    <phoneticPr fontId="3" type="noConversion"/>
  </si>
  <si>
    <t>Secure Cyber-Physical Systems for Smart Cities</t>
  </si>
  <si>
    <t>Shaikh, Riaz Ahmed</t>
  </si>
  <si>
    <t>http://services.igi-global.com/resolvedoi/resolve.aspx?doi=10.4018/978-1-5225-7189-6</t>
    <phoneticPr fontId="3" type="noConversion"/>
  </si>
  <si>
    <t>Online Survey Design and Data Analytics: Emerging Research and Opportunities</t>
  </si>
  <si>
    <t>http://services.igi-global.com/resolvedoi/resolve.aspx?doi=10.4018/978-1-5225-8563-3</t>
    <phoneticPr fontId="3" type="noConversion"/>
  </si>
  <si>
    <t>Handbook of Research on Human-Computer Interfaces and New Modes of Interactivity</t>
  </si>
  <si>
    <t>http://services.igi-global.com/resolvedoi/resolve.aspx?doi=10.4018/978-1-5225-9069-9</t>
    <phoneticPr fontId="3" type="noConversion"/>
  </si>
  <si>
    <t>Advanced Design of Wastewater Treatment Plants: Emerging Research and Opportunities</t>
  </si>
  <si>
    <t>http://services.igi-global.com/resolvedoi/resolve.aspx?doi=10.4018/978-1-5225-9441-3</t>
    <phoneticPr fontId="3" type="noConversion"/>
  </si>
  <si>
    <r>
      <t xml:space="preserve">E15 </t>
    </r>
    <r>
      <rPr>
        <sz val="10"/>
        <rFont val="新細明體"/>
        <family val="1"/>
        <charset val="136"/>
      </rPr>
      <t>光電工程</t>
    </r>
  </si>
  <si>
    <t>Contemporary Developments in High-Frequency Photonic Devices</t>
  </si>
  <si>
    <t>http://services.igi-global.com/resolvedoi/resolve.aspx?doi=10.4018/978-1-5225-8531-2</t>
    <phoneticPr fontId="3" type="noConversion"/>
  </si>
  <si>
    <r>
      <t xml:space="preserve">E09 </t>
    </r>
    <r>
      <rPr>
        <sz val="10"/>
        <rFont val="新細明體"/>
        <family val="1"/>
        <charset val="136"/>
      </rPr>
      <t>土木、水利、工程</t>
    </r>
  </si>
  <si>
    <t>Handbook of Research on Digital Research Methods and Architectural Tools in Urban Planning and Design</t>
  </si>
  <si>
    <t>Abusaada, Hisham</t>
  </si>
  <si>
    <t>http://services.igi-global.com/resolvedoi/resolve.aspx?doi=10.4018/978-1-5225-9238-9</t>
    <phoneticPr fontId="3" type="noConversion"/>
  </si>
  <si>
    <t>The IoT and the Next Revolutions Automating the World</t>
  </si>
  <si>
    <t>Goyal, Dinesh</t>
  </si>
  <si>
    <t>http://services.igi-global.com/resolvedoi/resolve.aspx?doi=10.4018/978-1-5225-9246-4</t>
    <phoneticPr fontId="3" type="noConversion"/>
  </si>
  <si>
    <t>Applications of Advanced Machine Intelligence in Computer Vision and Object Recognition: Emerging Research and Opportunities</t>
  </si>
  <si>
    <t>Chakraborty, Shouvik</t>
  </si>
  <si>
    <t>http://services.igi-global.com/resolvedoi/resolve.aspx?doi=10.4018/978-1-7998-2736-8</t>
    <phoneticPr fontId="3" type="noConversion"/>
  </si>
  <si>
    <t>Handbook of Research on Machine and Deep Learning Applications for Cyber Security</t>
  </si>
  <si>
    <t>Ganapathi, Padmavathi</t>
  </si>
  <si>
    <t>http://services.igi-global.com/resolvedoi/resolve.aspx?doi=10.4018/978-1-5225-9611-0</t>
    <phoneticPr fontId="3" type="noConversion"/>
  </si>
  <si>
    <r>
      <t xml:space="preserve">E18 </t>
    </r>
    <r>
      <rPr>
        <sz val="10"/>
        <rFont val="新細明體"/>
        <family val="1"/>
        <charset val="136"/>
      </rPr>
      <t>電力工程</t>
    </r>
  </si>
  <si>
    <t>Novel Advancements in Electrical Power Planning and Performance</t>
  </si>
  <si>
    <t>Shandilya, Smita</t>
  </si>
  <si>
    <t>http://services.igi-global.com/resolvedoi/resolve.aspx?doi=10.4018/978-1-5225-8551-0</t>
    <phoneticPr fontId="3" type="noConversion"/>
  </si>
  <si>
    <t>Handbook of Research on Applications and Implementations of Machine Learning Techniques</t>
  </si>
  <si>
    <t>Velayutham, Sathiyamoorthi</t>
  </si>
  <si>
    <t>http://services.igi-global.com/resolvedoi/resolve.aspx?doi=10.4018/978-1-5225-9902-9</t>
    <phoneticPr fontId="3" type="noConversion"/>
  </si>
  <si>
    <r>
      <t xml:space="preserve">M02 </t>
    </r>
    <r>
      <rPr>
        <sz val="10"/>
        <rFont val="新細明體"/>
        <family val="1"/>
        <charset val="136"/>
      </rPr>
      <t>數學</t>
    </r>
  </si>
  <si>
    <t>Handbook of Research on Advanced Applications of Graph Theory in Modern Society</t>
  </si>
  <si>
    <t>Pal, Madhumangal</t>
  </si>
  <si>
    <t>http://services.igi-global.com/resolvedoi/resolve.aspx?doi=10.4018/978-1-5225-9380-5</t>
    <phoneticPr fontId="3" type="noConversion"/>
  </si>
  <si>
    <t>Securing the Internet of Things: Concepts, Methodologies, Tools, and Applications</t>
  </si>
  <si>
    <r>
      <rPr>
        <sz val="10"/>
        <color indexed="10"/>
        <rFont val="新細明體"/>
        <family val="1"/>
        <charset val="136"/>
      </rPr>
      <t>共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新細明體"/>
        <family val="1"/>
        <charset val="136"/>
      </rPr>
      <t>冊</t>
    </r>
    <phoneticPr fontId="3" type="noConversion"/>
  </si>
  <si>
    <t>http://services.igi-global.com/resolvedoi/resolve.aspx?doi=10.4018/978-1-5225-9866-4</t>
    <phoneticPr fontId="3" type="noConversion"/>
  </si>
  <si>
    <r>
      <t xml:space="preserve">M20 </t>
    </r>
    <r>
      <rPr>
        <sz val="10"/>
        <rFont val="新細明體"/>
        <family val="1"/>
        <charset val="136"/>
      </rPr>
      <t>永續發展研究</t>
    </r>
  </si>
  <si>
    <t>Implementation and Evaluation of Green Materials in Technology Development: Emerging Research and Opportunities</t>
  </si>
  <si>
    <t>Mastura, M.T.</t>
  </si>
  <si>
    <t>http://services.igi-global.com/resolvedoi/resolve.aspx?doi=10.4018/978-1-7998-1374-3</t>
    <phoneticPr fontId="3" type="noConversion"/>
  </si>
  <si>
    <t>Deep Learning and Neural Networks: Concepts, Methodologies, Tools, and Applications</t>
  </si>
  <si>
    <t>http://services.igi-global.com/resolvedoi/resolve.aspx?doi=10.4018/978-1-7998-0414-7</t>
    <phoneticPr fontId="3" type="noConversion"/>
  </si>
  <si>
    <t>Control and Signal Processing Applications for Mobile and Aerial Robotic Systems</t>
  </si>
  <si>
    <t>http://services.igi-global.com/resolvedoi/resolve.aspx?doi=10.4018/978-1-5225-9924-1</t>
    <phoneticPr fontId="3" type="noConversion"/>
  </si>
  <si>
    <t>Handbook of Research on Resource Management for Pollution and Waste Treatment</t>
  </si>
  <si>
    <t>Affam, Augustine Chioma</t>
  </si>
  <si>
    <t>http://services.igi-global.com/resolvedoi/resolve.aspx?doi=10.4018/978-1-7998-0369-0</t>
    <phoneticPr fontId="3" type="noConversion"/>
  </si>
  <si>
    <t>Developing and Designing Circular Cities: Emerging Research and Opportunities</t>
  </si>
  <si>
    <t>Ryńska, Elżbieta</t>
  </si>
  <si>
    <t>http://services.igi-global.com/resolvedoi/resolve.aspx?doi=10.4018/978-1-7998-1886-1</t>
    <phoneticPr fontId="3" type="noConversion"/>
  </si>
  <si>
    <t>Sustainable Infrastructure: Breakthroughs in Research and Practice</t>
  </si>
  <si>
    <t>http://services.igi-global.com/resolvedoi/resolve.aspx?doi=10.4018/978-1-7998-0948-7</t>
    <phoneticPr fontId="3" type="noConversion"/>
  </si>
  <si>
    <t>Implications of Mobility as a Service (MaaS) in Urban and Rural Environments: Emerging Research and Opportunities</t>
  </si>
  <si>
    <t>Amaral, António Manuel</t>
  </si>
  <si>
    <t>http://services.igi-global.com/resolvedoi/resolve.aspx?doi=10.4018/978-1-7998-1614-0</t>
    <phoneticPr fontId="3" type="noConversion"/>
  </si>
  <si>
    <t>Neural Networks for Natural Language Processing</t>
  </si>
  <si>
    <t>S., Sumathi</t>
  </si>
  <si>
    <t>http://services.igi-global.com/resolvedoi/resolve.aspx?doi=10.4018/978-1-7998-1159-6</t>
    <phoneticPr fontId="3" type="noConversion"/>
  </si>
  <si>
    <t>Handbook of Research on Intelligent Data Processing and Information Security Systems</t>
  </si>
  <si>
    <t>Bilan, Stepan Mykolayovych</t>
  </si>
  <si>
    <t>http://services.igi-global.com/resolvedoi/resolve.aspx?doi=10.4018/978-1-7998-1290-6</t>
    <phoneticPr fontId="3" type="noConversion"/>
  </si>
  <si>
    <t>Handbook of Research on Emerging Trends and Applications of Machine Learning</t>
  </si>
  <si>
    <t>http://services.igi-global.com/resolvedoi/resolve.aspx?doi=10.4018/978-1-5225-9643-1</t>
    <phoneticPr fontId="3" type="noConversion"/>
  </si>
  <si>
    <t>Tools and Techniques for Software Development in Large Organizations: Emerging Research and Opportunities</t>
  </si>
  <si>
    <t>Pendyala, Vishnu</t>
  </si>
  <si>
    <t>http://services.igi-global.com/resolvedoi/resolve.aspx?doi=10.4018/978-1-7998-1863-2</t>
    <phoneticPr fontId="3" type="noConversion"/>
  </si>
  <si>
    <t>IoT Architectures, Models, and Platforms for Smart City Applications</t>
  </si>
  <si>
    <t>Chowdhry, Bhawani Shankar</t>
  </si>
  <si>
    <t>http://services.igi-global.com/resolvedoi/resolve.aspx?doi=10.4018/978-1-7998-1253-1</t>
    <phoneticPr fontId="3" type="noConversion"/>
  </si>
  <si>
    <t>Soft Computing Methods for System Dependability</t>
  </si>
  <si>
    <t>Mellal, Mohamed Arezki</t>
  </si>
  <si>
    <t>http://services.igi-global.com/resolvedoi/resolve.aspx?doi=10.4018/978-1-7998-1718-5</t>
    <phoneticPr fontId="3" type="noConversion"/>
  </si>
  <si>
    <t>Pattern Recognition Applications in Engineering</t>
  </si>
  <si>
    <t>Burgos, Diego Alexander Tibaduiza</t>
  </si>
  <si>
    <t>http://services.igi-global.com/resolvedoi/resolve.aspx?doi=10.4018/978-1-7998-1839-7</t>
    <phoneticPr fontId="3" type="noConversion"/>
  </si>
  <si>
    <t>Novel Approaches to Information Systems Design</t>
  </si>
  <si>
    <t>Prakash, Naveen</t>
  </si>
  <si>
    <t>http://services.igi-global.com/resolvedoi/resolve.aspx?doi=10.4018/978-1-7998-2975-1</t>
    <phoneticPr fontId="3" type="noConversion"/>
  </si>
  <si>
    <t>Innovations, Algorithms, and Applications in Cognitive Informatics and Natural Intelligence</t>
  </si>
  <si>
    <t>http://services.igi-global.com/resolvedoi/resolve.aspx?doi=10.4018/978-1-7998-3038-2</t>
    <phoneticPr fontId="3" type="noConversion"/>
  </si>
  <si>
    <t>Applied Approach to Privacy and Security for the Internet of Things</t>
  </si>
  <si>
    <t>Chatterjee, Parag</t>
  </si>
  <si>
    <t>http://services.igi-global.com/resolvedoi/resolve.aspx?doi=10.4018/978-1-7998-2444-2</t>
    <phoneticPr fontId="3" type="noConversion"/>
  </si>
  <si>
    <t>Cross-Border Cooperation (CBC) Strategies for Sustainable Development</t>
  </si>
  <si>
    <t>Castanho, Rui Alexandre</t>
  </si>
  <si>
    <t>http://services.igi-global.com/resolvedoi/resolve.aspx?doi=10.4018/978-1-7998-2513-5</t>
    <phoneticPr fontId="3" type="noConversion"/>
  </si>
  <si>
    <t>Deep Learning Applications and Intelligent Decision Making in Engineering</t>
  </si>
  <si>
    <t>Senthilnathan, Karthikrajan</t>
  </si>
  <si>
    <t>http://services.igi-global.com/resolvedoi/resolve.aspx?doi=10.4018/978-1-7998-2108-3</t>
    <phoneticPr fontId="3" type="noConversion"/>
  </si>
  <si>
    <t>Challenges and Applications of Data Analytics in Social Perspectives</t>
  </si>
  <si>
    <t>Sathiyamoorthi, V.</t>
  </si>
  <si>
    <t>http://services.igi-global.com/resolvedoi/resolve.aspx?doi=10.4018/978-1-7998-2566-1</t>
    <phoneticPr fontId="3" type="noConversion"/>
  </si>
  <si>
    <t>FPGA Algorithms and Applications for the Internet of Things</t>
  </si>
  <si>
    <t>Sharma, Preeti</t>
  </si>
  <si>
    <t>http://services.igi-global.com/resolvedoi/resolve.aspx?doi=10.4018/978-1-5225-9806-0</t>
    <phoneticPr fontId="3" type="noConversion"/>
  </si>
  <si>
    <t>Industrial Internet of Things and Cyber-Physical Systems: Transforming the Conventional to Digital</t>
  </si>
  <si>
    <t>Kumar, Pardeep</t>
  </si>
  <si>
    <t>http://services.igi-global.com/resolvedoi/resolve.aspx?doi=10.4018/978-1-7998-2803-7</t>
    <phoneticPr fontId="3" type="noConversion"/>
  </si>
  <si>
    <t>Handbook of Research on Engineering, Business, and Healthcare Applications of Data Science and Analytics</t>
  </si>
  <si>
    <t>Patil, Bhushan</t>
  </si>
  <si>
    <t>http://services.igi-global.com/resolvedoi/resolve.aspx?doi=10.4018/978-1-7998-3053-5</t>
    <phoneticPr fontId="3" type="noConversion"/>
  </si>
  <si>
    <t>Membrane Technology for Water and Wastewater Treatment in Rural Regions</t>
  </si>
  <si>
    <t>Sarbatly, Rosalam</t>
  </si>
  <si>
    <t>http://services.igi-global.com/resolvedoi/resolve.aspx?doi=10.4018/978-1-7998-2645-3</t>
    <phoneticPr fontId="3" type="noConversion"/>
  </si>
  <si>
    <t>Machine Learning Applications in Non-Conventional Machining Processes</t>
  </si>
  <si>
    <t>Bose, Goutam Kumar</t>
  </si>
  <si>
    <t>http://services.igi-global.com/resolvedoi/resolve.aspx?doi=10.4018/978-1-7998-3624-7</t>
    <phoneticPr fontId="3" type="noConversion"/>
  </si>
  <si>
    <r>
      <t xml:space="preserve">E12 </t>
    </r>
    <r>
      <rPr>
        <sz val="10"/>
        <rFont val="新細明體"/>
        <family val="1"/>
        <charset val="136"/>
      </rPr>
      <t>電信工程</t>
    </r>
  </si>
  <si>
    <t>Energy-Efficient Underwater Wireless Communications and Networking</t>
  </si>
  <si>
    <t>Goyal, Nitin</t>
  </si>
  <si>
    <t>http://services.igi-global.com/resolvedoi/resolve.aspx?doi=10.4018/978-1-7998-3640-7</t>
    <phoneticPr fontId="3" type="noConversion"/>
  </si>
  <si>
    <t>Advancements in Model-Driven Architecture in Software Engineering</t>
  </si>
  <si>
    <t>Rhazali, Yassine</t>
  </si>
  <si>
    <t>http://services.igi-global.com/resolvedoi/resolve.aspx?doi=10.4018/978-1-7998-3661-2</t>
    <phoneticPr fontId="3" type="noConversion"/>
  </si>
  <si>
    <t>Challenges and Opportunities for the Convergence of IoT, Big Data, and Cloud Computing</t>
  </si>
  <si>
    <t>Sathiyamoorthi, Velayutham</t>
  </si>
  <si>
    <t>http://services.igi-global.com/resolvedoi/resolve.aspx?doi=10.4018/978-1-7998-3111-2</t>
    <phoneticPr fontId="3" type="noConversion"/>
  </si>
  <si>
    <t>Managing Resources for Futuristic Wireless Networks</t>
  </si>
  <si>
    <t>Rath, Mamata</t>
  </si>
  <si>
    <t>http://services.igi-global.com/resolvedoi/resolve.aspx?doi=10.4018/978-1-5225-9493-2</t>
    <phoneticPr fontId="3" type="noConversion"/>
  </si>
  <si>
    <t>Applications and Developments in Semantic Process Mining</t>
  </si>
  <si>
    <t>Okoye, Kingsley</t>
  </si>
  <si>
    <t>http://services.igi-global.com/resolvedoi/resolve.aspx?doi=10.4018/978-1-7998-2668-2</t>
    <phoneticPr fontId="3" type="noConversion"/>
  </si>
  <si>
    <t>Artificial Neural Network Applications in Business and Engineering</t>
  </si>
  <si>
    <t>Do, Quang Hung</t>
  </si>
  <si>
    <t>http://services.igi-global.com/resolvedoi/resolve.aspx?doi=10.4018/978-1-7998-3238-6</t>
    <phoneticPr fontId="3" type="noConversion"/>
  </si>
  <si>
    <t>Modeling and Optimization of Solar Thermal Systems: Emerging Research and Opportunities</t>
  </si>
  <si>
    <t>Jagadish</t>
  </si>
  <si>
    <t>http://services.igi-global.com/resolvedoi/resolve.aspx?doi=10.4018/978-1-7998-3523-3</t>
    <phoneticPr fontId="3" type="noConversion"/>
  </si>
  <si>
    <t>Examining Biophilia and Societal Indifference to Environmental Protection</t>
  </si>
  <si>
    <t>Markey, Mary Ann</t>
  </si>
  <si>
    <t>http://services.igi-global.com/resolvedoi/resolve.aspx?doi=10.4018/978-1-7998-4408-2</t>
    <phoneticPr fontId="3" type="noConversion"/>
  </si>
  <si>
    <t>Open Source Software for Statistical Analysis of Big Data: Emerging Research and Opportunities</t>
  </si>
  <si>
    <t>http://services.igi-global.com/resolvedoi/resolve.aspx?doi=10.4018/978-1-7998-2768-9</t>
    <phoneticPr fontId="3" type="noConversion"/>
  </si>
  <si>
    <t>Artificial Intelligence and Machine Learning Applications in Civil, Mechanical, and Industrial Engineering</t>
  </si>
  <si>
    <t>Bekdaş, Gebrail</t>
  </si>
  <si>
    <t>http://services.igi-global.com/resolvedoi/resolve.aspx?doi=10.4018/978-1-7998-0301-0</t>
    <phoneticPr fontId="3" type="noConversion"/>
  </si>
  <si>
    <t>Handbook of Research on Natural Language Processing and Smart Service Systems</t>
  </si>
  <si>
    <t>Pazos-Rangel, Rodolfo Abraham</t>
  </si>
  <si>
    <t>http://services.igi-global.com/resolvedoi/resolve.aspx?doi=10.4018/978-1-7998-4730-4</t>
    <phoneticPr fontId="3" type="noConversion"/>
  </si>
  <si>
    <r>
      <t xml:space="preserve">E71 </t>
    </r>
    <r>
      <rPr>
        <sz val="10"/>
        <rFont val="新細明體"/>
        <family val="1"/>
        <charset val="136"/>
      </rPr>
      <t>航太科技</t>
    </r>
  </si>
  <si>
    <t>Genetic Algorithms and Remote Sensing Technology for Tracking Flight Debris</t>
  </si>
  <si>
    <t>Marghany, Maged</t>
  </si>
  <si>
    <t>http://services.igi-global.com/resolvedoi/resolve.aspx?doi=10.4018/978-1-7998-1920-2</t>
    <phoneticPr fontId="3" type="noConversion"/>
  </si>
  <si>
    <t>Legal Regulations, Implications, and Issues Surrounding Digital Data</t>
  </si>
  <si>
    <t>Jackson, Margaret</t>
  </si>
  <si>
    <t>http://services.igi-global.com/resolvedoi/resolve.aspx?doi=10.4018/978-1-7998-3130-3</t>
    <phoneticPr fontId="3" type="noConversion"/>
  </si>
  <si>
    <t>Social, Legal, and Ethical Implications of IoT, Cloud, and Edge Computing Technologies</t>
  </si>
  <si>
    <t>http://services.igi-global.com/resolvedoi/resolve.aspx?doi=10.4018/978-1-7998-3817-3</t>
    <phoneticPr fontId="3" type="noConversion"/>
  </si>
  <si>
    <t>Design and Investment of High Voltage Nano-Dielectrics</t>
  </si>
  <si>
    <t>Mohamed, Ahmed Thabet</t>
  </si>
  <si>
    <t>http://services.igi-global.com/resolvedoi/resolve.aspx?doi=10.4018/978-1-7998-3829-6</t>
    <phoneticPr fontId="3" type="noConversion"/>
  </si>
  <si>
    <t>Reconstructing Urban Ambiance in Smart Public Places</t>
  </si>
  <si>
    <t>http://services.igi-global.com/resolvedoi/resolve.aspx?doi=10.4018/978-1-7998-3856-2</t>
    <phoneticPr fontId="3" type="noConversion"/>
  </si>
  <si>
    <r>
      <t xml:space="preserve">E50 </t>
    </r>
    <r>
      <rPr>
        <sz val="10"/>
        <rFont val="新細明體"/>
        <family val="1"/>
        <charset val="136"/>
      </rPr>
      <t>工業工程與管理</t>
    </r>
  </si>
  <si>
    <t>Applications and Challenges of Maintenance and Safety Engineering in Industry 4.0</t>
  </si>
  <si>
    <t>Martinetti, Alberto</t>
  </si>
  <si>
    <t>http://services.igi-global.com/resolvedoi/resolve.aspx?doi=10.4018/978-1-7998-3904-0</t>
    <phoneticPr fontId="3" type="noConversion"/>
  </si>
  <si>
    <t>Optimizing and Measuring Smart Grid Operation and Control</t>
  </si>
  <si>
    <t>Recioui, Abdelmadjid</t>
  </si>
  <si>
    <t>http://services.igi-global.com/resolvedoi/resolve.aspx?doi=10.4018/978-1-7998-4027-5</t>
    <phoneticPr fontId="3" type="noConversion"/>
  </si>
  <si>
    <t>Additive Manufacturing Applications for Metals and Composites</t>
  </si>
  <si>
    <t>Balasubramanian, K.R.</t>
  </si>
  <si>
    <t>http://services.igi-global.com/resolvedoi/resolve.aspx?doi=10.4018/978-1-7998-4054-1</t>
    <phoneticPr fontId="3" type="noConversion"/>
  </si>
  <si>
    <r>
      <t xml:space="preserve">E10 </t>
    </r>
    <r>
      <rPr>
        <sz val="10"/>
        <rFont val="新細明體"/>
        <family val="1"/>
        <charset val="136"/>
      </rPr>
      <t>能源科技</t>
    </r>
  </si>
  <si>
    <t>Solar Concentrating Modules with Louvered Heliostats: Emerging Research and Opportunities</t>
  </si>
  <si>
    <t>Strebkov, Dmitry</t>
  </si>
  <si>
    <t>http://services.igi-global.com/resolvedoi/resolve.aspx?doi=10.4018/978-1-7998-4276-7</t>
    <phoneticPr fontId="3" type="noConversion"/>
  </si>
  <si>
    <t>Responsible AI and Ethical Issues for Businesses and Governments</t>
  </si>
  <si>
    <t>Vassileva, Bistra</t>
  </si>
  <si>
    <t>http://services.igi-global.com/resolvedoi/resolve.aspx?doi=10.4018/978-1-7998-4285-9</t>
    <phoneticPr fontId="3" type="noConversion"/>
  </si>
  <si>
    <t>Transdisciplinary Perspectives on Risk Management and Cyber Intelligence</t>
  </si>
  <si>
    <t>Dall'Acqua, Luisa</t>
  </si>
  <si>
    <t>http://services.igi-global.com/resolvedoi/resolve.aspx?doi=10.4018/978-1-7998-4339-9</t>
    <phoneticPr fontId="3" type="noConversion"/>
  </si>
  <si>
    <t>Sensor Network Methodologies for Smart Applications</t>
  </si>
  <si>
    <t>Krit, Salahddine</t>
  </si>
  <si>
    <t>http://services.igi-global.com/resolvedoi/resolve.aspx?doi=10.4018/978-1-7998-4381-8</t>
    <phoneticPr fontId="3" type="noConversion"/>
  </si>
  <si>
    <t>Multimedia and Sensory Input for Augmented, Mixed, and Virtual Reality</t>
  </si>
  <si>
    <t>http://services.igi-global.com/resolvedoi/resolve.aspx?doi=10.4018/978-1-7998-4703-8</t>
    <phoneticPr fontId="3" type="noConversion"/>
  </si>
  <si>
    <t>Analyzing Data Through Probabilistic Modeling in Statistics</t>
  </si>
  <si>
    <t>Jakóbczak, Dariusz Jacek</t>
    <phoneticPr fontId="3" type="noConversion"/>
  </si>
  <si>
    <t>http://services.igi-global.com/resolvedoi/resolve.aspx?doi=10.4018/978-1-7998-4706-9</t>
    <phoneticPr fontId="3" type="noConversion"/>
  </si>
  <si>
    <t>Principles and Applications of Narrowband Internet of Things (NBIoT)</t>
  </si>
  <si>
    <t>Routray, Sudhir</t>
  </si>
  <si>
    <t>http://services.igi-global.com/resolvedoi/resolve.aspx?doi=10.4018/978-1-7998-4775-5</t>
    <phoneticPr fontId="3" type="noConversion"/>
  </si>
  <si>
    <r>
      <t xml:space="preserve">E06 </t>
    </r>
    <r>
      <rPr>
        <sz val="10"/>
        <rFont val="新細明體"/>
        <family val="1"/>
        <charset val="136"/>
      </rPr>
      <t>材料工程</t>
    </r>
  </si>
  <si>
    <t>Advanced Surface Coating Techniques for Modern Industrial Applications</t>
  </si>
  <si>
    <t>Roy, Supriyo</t>
  </si>
  <si>
    <t>http://services.igi-global.com/resolvedoi/resolve.aspx?doi=10.4018/978-1-7998-4870-7</t>
    <phoneticPr fontId="3" type="noConversion"/>
  </si>
  <si>
    <t>Recent Trends on Electromagnetic Environmental Effects for Aeronautics and Space Applications</t>
  </si>
  <si>
    <t>Nikolopoulos, Christos D.</t>
  </si>
  <si>
    <t>http://services.igi-global.com/resolvedoi/resolve.aspx?doi=10.4018/978-1-7998-4879-0</t>
    <phoneticPr fontId="3" type="noConversion"/>
  </si>
  <si>
    <t>Agile Scrum Implementation and its Long-Term Impact on Organizations</t>
  </si>
  <si>
    <t>Walsh, Kenneth R.</t>
  </si>
  <si>
    <t>http://services.igi-global.com/resolvedoi/resolve.aspx?doi=10.4018/978-1-7998-4885-1</t>
    <phoneticPr fontId="3" type="noConversion"/>
  </si>
  <si>
    <t>Machine Law, Ethics, and Morality in the Age of Artificial Intelligence</t>
  </si>
  <si>
    <t>http://services.igi-global.com/resolvedoi/resolve.aspx?doi=10.4018/978-1-7998-4894-3</t>
    <phoneticPr fontId="3" type="noConversion"/>
  </si>
  <si>
    <t>Confluence of AI, Machine, and Deep Learning in Cyber Forensics</t>
  </si>
  <si>
    <t>Misra, Sanjay</t>
  </si>
  <si>
    <t>http://services.igi-global.com/resolvedoi/resolve.aspx?doi=10.4018/978-1-7998-4900-1</t>
    <phoneticPr fontId="3" type="noConversion"/>
  </si>
  <si>
    <t>Eco-Friendly Energy Processes and Technologies for Achieving Sustainable Development</t>
  </si>
  <si>
    <t>Danish, Mir Sayed Shah</t>
  </si>
  <si>
    <t>http://services.igi-global.com/resolvedoi/resolve.aspx?doi=10.4018/978-1-7998-4915-5</t>
    <phoneticPr fontId="3" type="noConversion"/>
  </si>
  <si>
    <t>Handbook of Research on Waste Diversion and Minimization Technologies for the Industrial Sector</t>
  </si>
  <si>
    <t>http://services.igi-global.com/resolvedoi/resolve.aspx?doi=10.4018/978-1-7998-4921-6</t>
    <phoneticPr fontId="3" type="noConversion"/>
  </si>
  <si>
    <t>Handbook of Research on Advancements in Manufacturing, Materials, and Mechanical Engineering</t>
  </si>
  <si>
    <t>Burstein, Leonid</t>
  </si>
  <si>
    <t>http://services.igi-global.com/resolvedoi/resolve.aspx?doi=10.4018/978-1-7998-4939-1</t>
    <phoneticPr fontId="3" type="noConversion"/>
  </si>
  <si>
    <t>Handbook of Research on Creative Cities and Advanced Models for Knowledge-Based Urban Development</t>
  </si>
  <si>
    <t>Galaby, Aly</t>
  </si>
  <si>
    <t>http://services.igi-global.com/resolvedoi/resolve.aspx?doi=10.4018/978-1-7998-4948-3</t>
    <phoneticPr fontId="3" type="noConversion"/>
  </si>
  <si>
    <t>Spatial Information Science for Natural Resource Management</t>
  </si>
  <si>
    <t>Singh, Suraj Kumar</t>
  </si>
  <si>
    <t>http://services.igi-global.com/resolvedoi/resolve.aspx?doi=10.4018/978-1-7998-5027-4</t>
    <phoneticPr fontId="3" type="noConversion"/>
  </si>
  <si>
    <t>Multidisciplinary Functions of Blockchain Technology in AI and IoT Applications</t>
  </si>
  <si>
    <t>Chowdhury, Niaz</t>
  </si>
  <si>
    <t>http://services.igi-global.com/resolvedoi/resolve.aspx?doi=10.4018/978-1-7998-5876-8</t>
    <phoneticPr fontId="3" type="noConversion"/>
  </si>
  <si>
    <t>Examining Optoelectronics in Machine Vision and Applications in Industry 4.0</t>
  </si>
  <si>
    <t>http://services.igi-global.com/resolvedoi/resolve.aspx?doi=10.4018/978-1-7998-6522-3</t>
    <phoneticPr fontId="3" type="noConversion"/>
  </si>
  <si>
    <t>Examining the Impact of Deep Learning and IoT on Multi-Industry Applications</t>
  </si>
  <si>
    <t>Raut, Roshani</t>
  </si>
  <si>
    <t>http://services.igi-global.com/resolvedoi/resolve.aspx?doi=10.4018/978-1-7998-7511-6</t>
    <phoneticPr fontId="3" type="noConversion"/>
  </si>
  <si>
    <t>Handbook of Research on Automated Feature Engineering and Advanced Applications in Data Science</t>
  </si>
  <si>
    <t>Panda, Mrutyunjaya</t>
  </si>
  <si>
    <t>http://services.igi-global.com/resolvedoi/resolve.aspx?doi=10.4018/978-1-7998-6659-6</t>
    <phoneticPr fontId="3" type="noConversion"/>
  </si>
  <si>
    <t>Handbook of Research on Deep Learning-Based Image Analysis Under Constrained and Unconstrained Environments</t>
  </si>
  <si>
    <t>Raj, Alex Noel Joseph</t>
  </si>
  <si>
    <t>http://services.igi-global.com/resolvedoi/resolve.aspx?doi=10.4018/978-1-7998-6690-9</t>
    <phoneticPr fontId="3" type="noConversion"/>
  </si>
  <si>
    <t>Data-Driven Optimization of Manufacturing Processes</t>
  </si>
  <si>
    <t>Kalita, Kanak</t>
  </si>
  <si>
    <t>http://services.igi-global.com/resolvedoi/resolve.aspx?doi=10.4018/978-1-7998-7206-1</t>
    <phoneticPr fontId="3" type="noConversion"/>
  </si>
  <si>
    <t>Latin American Women and Research Contributions to the IT Field</t>
  </si>
  <si>
    <t>Negrón, Adriana Peña Pérez</t>
  </si>
  <si>
    <t>http://services.igi-global.com/resolvedoi/resolve.aspx?doi=10.4018/978-1-7998-7552-9</t>
    <phoneticPr fontId="3" type="noConversion"/>
  </si>
  <si>
    <t>Integration Challenges for Analytics, Business Intelligence, and Data Mining</t>
  </si>
  <si>
    <t>http://services.igi-global.com/resolvedoi/resolve.aspx?doi=10.4018/978-1-7998-5781-5</t>
    <phoneticPr fontId="3" type="noConversion"/>
  </si>
  <si>
    <t>Applications of Nanomaterials in Agriculture, Food Science, and Medicine</t>
  </si>
  <si>
    <t>Bhat, Mohd Amin</t>
  </si>
  <si>
    <t>http://services.igi-global.com/resolvedoi/resolve.aspx?doi=10.4018/978-1-7998-5563-7</t>
    <phoneticPr fontId="3" type="noConversion"/>
  </si>
  <si>
    <t>Research Anthology on Developing and Optimizing 5G Networks and the Impact on Society</t>
  </si>
  <si>
    <t>http://services.igi-global.com/resolvedoi/resolve.aspx?doi=10.4018/978-1-7998-7708-0</t>
    <phoneticPr fontId="3" type="noConversion"/>
  </si>
  <si>
    <r>
      <t xml:space="preserve">E14 </t>
    </r>
    <r>
      <rPr>
        <sz val="10"/>
        <rFont val="新細明體"/>
        <family val="1"/>
        <charset val="136"/>
      </rPr>
      <t>微電子工程</t>
    </r>
  </si>
  <si>
    <t>Innovative Applications of Nanowires for Circuit Design</t>
  </si>
  <si>
    <t>Raj, Balwinder</t>
  </si>
  <si>
    <t>http://services.igi-global.com/resolvedoi/resolve.aspx?doi=10.4018/978-1-7998-6467-7</t>
    <phoneticPr fontId="3" type="noConversion"/>
  </si>
  <si>
    <t>New Methods and Paradigms for Modeling Dynamic Processes Based on Cellular Automata</t>
  </si>
  <si>
    <t>http://services.igi-global.com/resolvedoi/resolve.aspx?doi=10.4018/978-1-7998-2649-1</t>
    <phoneticPr fontId="3" type="noConversion"/>
  </si>
  <si>
    <t>Research Anthology on Reliability and Safety in Aviation Systems, Spacecraft, and Air Transport</t>
  </si>
  <si>
    <t>http://services.igi-global.com/resolvedoi/resolve.aspx?doi=10.4018/978-1-7998-5357-2</t>
    <phoneticPr fontId="3" type="noConversion"/>
  </si>
  <si>
    <r>
      <t xml:space="preserve">E02 </t>
    </r>
    <r>
      <rPr>
        <sz val="10"/>
        <rFont val="新細明體"/>
        <family val="1"/>
        <charset val="136"/>
      </rPr>
      <t>化學工程</t>
    </r>
  </si>
  <si>
    <t>Handbook of Research on Advancements in Supercritical Fluids Applications for Sustainable Energy Systems</t>
  </si>
  <si>
    <t>http://services.igi-global.com/resolvedoi/resolve.aspx?doi=10.4018/978-1-7998-5796-9</t>
    <phoneticPr fontId="3" type="noConversion"/>
  </si>
  <si>
    <t>Handbook of Research on Cyber Crime and Information Privacy</t>
  </si>
  <si>
    <t>http://services.igi-global.com/resolvedoi/resolve.aspx?doi=10.4018/978-1-7998-5728-0</t>
    <phoneticPr fontId="3" type="noConversion"/>
  </si>
  <si>
    <t>Privacy Concerns Surrounding Personal Information Sharing on Health and Fitness Mobile Apps</t>
  </si>
  <si>
    <t>Sen, Devjani</t>
  </si>
  <si>
    <t>http://services.igi-global.com/resolvedoi/resolve.aspx?doi=10.4018/978-1-7998-3487-8</t>
    <phoneticPr fontId="3" type="noConversion"/>
  </si>
  <si>
    <t>Developing Successful Strategies for Global Policies and Cyber Transparency in E-Learning</t>
  </si>
  <si>
    <t>http://services.igi-global.com/resolvedoi/resolve.aspx?doi=10.4018/978-1-4666-8844-5</t>
    <phoneticPr fontId="3" type="noConversion"/>
  </si>
  <si>
    <t>Impact of Economic Crisis on Education and the Next-Generation Workforce</t>
  </si>
  <si>
    <t>Ordóñez de Pablos, Patricia</t>
    <phoneticPr fontId="3" type="noConversion"/>
  </si>
  <si>
    <t>http://services.igi-global.com/resolvedoi/resolve.aspx?doi=10.4018/978-1-4666-9455-2</t>
    <phoneticPr fontId="3" type="noConversion"/>
  </si>
  <si>
    <t>Medical and Educational Perspectives on Nonverbal Learning Disability in Children and Young Adults</t>
  </si>
  <si>
    <t>Rissman, Barbara</t>
  </si>
  <si>
    <t>http://services.igi-global.com/resolvedoi/resolve.aspx?doi=10.4018/978-1-4666-9539-9</t>
    <phoneticPr fontId="3" type="noConversion"/>
  </si>
  <si>
    <t>Cultural Awareness and Competency Development in Higher Education</t>
  </si>
  <si>
    <t>Leavitt, Lynda</t>
  </si>
  <si>
    <t>http://services.igi-global.com/resolvedoi/resolve.aspx?doi=10.4018/978-1-5225-2145-7</t>
    <phoneticPr fontId="3" type="noConversion"/>
  </si>
  <si>
    <t>Strategic Innovations and Interdisciplinary Perspectives in Telecommunications and Networking</t>
  </si>
  <si>
    <t>http://services.igi-global.com/resolvedoi/resolve.aspx?doi=10.4018/978-1-5225-8188-8</t>
    <phoneticPr fontId="3" type="noConversion"/>
  </si>
  <si>
    <t>Confronting Academic Mobbing in Higher Education: Personal Accounts and Administrative Action</t>
  </si>
  <si>
    <t>Crawford, Caroline M.</t>
  </si>
  <si>
    <t>http://services.igi-global.com/resolvedoi/resolve.aspx?doi=10.4018/978-1-5225-9485-7</t>
    <phoneticPr fontId="3" type="noConversion"/>
  </si>
  <si>
    <t>Recent Advances in Digital Media Impacts on Identity, Sexuality, and Relationships</t>
  </si>
  <si>
    <t>Wright, Michelle F.</t>
  </si>
  <si>
    <t>http://services.igi-global.com/resolvedoi/resolve.aspx?doi=10.4018/978-1-7998-1063-6</t>
    <phoneticPr fontId="3" type="noConversion"/>
  </si>
  <si>
    <t>Innovations in the Designing and Marketing of Information Services</t>
  </si>
  <si>
    <t>Jesubright, John Jeyasekar</t>
  </si>
  <si>
    <t>http://services.igi-global.com/resolvedoi/resolve.aspx?doi=10.4018/978-1-7998-1482-5</t>
    <phoneticPr fontId="3" type="noConversion"/>
  </si>
  <si>
    <t>Utilizing Technology, Knowledge, and Smart Systems in Educational Administration and Leadership</t>
  </si>
  <si>
    <t>Durnali, Mehmet</t>
  </si>
  <si>
    <t>http://services.igi-global.com/resolvedoi/resolve.aspx?doi=10.4018/978-1-7998-1408-5</t>
    <phoneticPr fontId="3" type="noConversion"/>
  </si>
  <si>
    <t>Handbook of Research on Emerging Innovations in Rail Transportation Engineering</t>
  </si>
  <si>
    <t>Rai, B. Umesh</t>
  </si>
  <si>
    <t>http://services.igi-global.com/resolvedoi/resolve.aspx?doi=10.4018/978-1-5225-0084-1</t>
    <phoneticPr fontId="3" type="noConversion"/>
  </si>
  <si>
    <t>Engineering Tools and Solutions for Sustainable Transportation Planning</t>
  </si>
  <si>
    <t>Knoflacher, Hermann</t>
  </si>
  <si>
    <t>http://services.igi-global.com/resolvedoi/resolve.aspx?doi=10.4018/978-1-5225-2116-7</t>
    <phoneticPr fontId="3" type="noConversion"/>
  </si>
  <si>
    <t>Computational Models for Biomedical Reasoning and Problem Solving</t>
  </si>
  <si>
    <t>Chen, Chung-Hao</t>
  </si>
  <si>
    <t>http://services.igi-global.com/resolvedoi/resolve.aspx?doi=10.4018/978-1-5225-7467-5</t>
    <phoneticPr fontId="3" type="noConversion"/>
  </si>
  <si>
    <t>Examining the Evolution of Gaming and Its Impact on Social, Cultural, and Political Perspectives</t>
  </si>
  <si>
    <t>Valentine, Keri Duncan</t>
  </si>
  <si>
    <t>http://services.igi-global.com/resolvedoi/resolve.aspx?doi=10.4018/978-1-5225-0261-6</t>
    <phoneticPr fontId="3" type="noConversion"/>
  </si>
  <si>
    <r>
      <rPr>
        <sz val="10"/>
        <rFont val="新細明體"/>
        <family val="1"/>
        <charset val="136"/>
      </rPr>
      <t>次主題</t>
    </r>
  </si>
  <si>
    <r>
      <rPr>
        <sz val="10"/>
        <rFont val="新細明體"/>
        <family val="1"/>
        <charset val="136"/>
      </rPr>
      <t>電子書</t>
    </r>
    <r>
      <rPr>
        <sz val="10"/>
        <rFont val="Times New Roman"/>
        <family val="1"/>
      </rPr>
      <t>13</t>
    </r>
    <r>
      <rPr>
        <sz val="10"/>
        <rFont val="新細明體"/>
        <family val="1"/>
        <charset val="136"/>
      </rPr>
      <t>碼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</si>
  <si>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紙本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</si>
  <si>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題名</t>
    </r>
  </si>
  <si>
    <r>
      <rPr>
        <sz val="10"/>
        <rFont val="新細明體"/>
        <family val="1"/>
        <charset val="136"/>
      </rPr>
      <t>冊數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</si>
  <si>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</si>
  <si>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新細明體"/>
        <family val="1"/>
        <charset val="136"/>
      </rPr>
      <t>作者</t>
    </r>
  </si>
  <si>
    <r>
      <rPr>
        <sz val="10"/>
        <rFont val="新細明體"/>
        <family val="1"/>
        <charset val="136"/>
      </rPr>
      <t>出版者</t>
    </r>
  </si>
  <si>
    <r>
      <rPr>
        <sz val="10"/>
        <rFont val="新細明體"/>
        <family val="1"/>
        <charset val="136"/>
      </rPr>
      <t>出版年</t>
    </r>
  </si>
  <si>
    <r>
      <rPr>
        <sz val="10"/>
        <rFont val="新細明體"/>
        <family val="1"/>
        <charset val="136"/>
      </rPr>
      <t>附件</t>
    </r>
  </si>
  <si>
    <r>
      <rPr>
        <sz val="10"/>
        <rFont val="新細明體"/>
        <family val="1"/>
        <charset val="136"/>
      </rPr>
      <t>備註</t>
    </r>
    <phoneticPr fontId="3" type="noConversion"/>
  </si>
  <si>
    <t>9781522525554</t>
  </si>
  <si>
    <t>9781522525547</t>
  </si>
  <si>
    <t>Interpretation of Visual Arts Across Societies and Political Culture: Emerging Research and Opportunities</t>
  </si>
  <si>
    <t>http://services.igi-global.com/resolvedoi/resolve.aspx?doi=10.4018/978-1-5225-2554-7</t>
    <phoneticPr fontId="3" type="noConversion"/>
  </si>
  <si>
    <t>9781522518723</t>
  </si>
  <si>
    <t>9781522518716</t>
  </si>
  <si>
    <t>Library and Information Services for Bioinformatics Education and Research</t>
  </si>
  <si>
    <t>Ram, Shri</t>
  </si>
  <si>
    <t>http://services.igi-global.com/resolvedoi/resolve.aspx?doi=10.4018/978-1-5225-1871-6</t>
    <phoneticPr fontId="3" type="noConversion"/>
  </si>
  <si>
    <t>9781683180043</t>
  </si>
  <si>
    <t>9781683180036</t>
  </si>
  <si>
    <t>Strategic Policy-Based Network Management in Contemporary Organizations</t>
  </si>
  <si>
    <t>Odagiri, Kazuya</t>
  </si>
  <si>
    <t>http://services.igi-global.com/resolvedoi/resolve.aspx?doi=10.4018/978-1-6831-8003-6</t>
    <phoneticPr fontId="3" type="noConversion"/>
  </si>
  <si>
    <t>9781522506447</t>
  </si>
  <si>
    <t>9781522506430</t>
  </si>
  <si>
    <t>Handbook of Research on Creative Problem-Solving Skill Development in Higher Education</t>
  </si>
  <si>
    <t>http://services.igi-global.com/resolvedoi/resolve.aspx?doi=10.4018/978-1-5225-0643-0</t>
    <phoneticPr fontId="3" type="noConversion"/>
  </si>
  <si>
    <t>9781522508175</t>
  </si>
  <si>
    <t>9781522508168</t>
  </si>
  <si>
    <t>Supporting the Education of Children with Autism Spectrum Disorders</t>
  </si>
  <si>
    <t>http://services.igi-global.com/resolvedoi/resolve.aspx?doi=10.4018/978-1-5225-0816-8</t>
    <phoneticPr fontId="3" type="noConversion"/>
  </si>
  <si>
    <t>9781522505112</t>
  </si>
  <si>
    <t>9781522505105</t>
  </si>
  <si>
    <t>Projective Processes and Neuroscience in Art and Design</t>
  </si>
  <si>
    <t>Zuanon, Rachel</t>
  </si>
  <si>
    <t>http://services.igi-global.com/resolvedoi/resolve.aspx?doi=10.4018/978-1-5225-0510-5</t>
    <phoneticPr fontId="3" type="noConversion"/>
  </si>
  <si>
    <t>9781522550082</t>
  </si>
  <si>
    <t>9781522550075</t>
  </si>
  <si>
    <t>Developing Effective Literacy Intervention Strategies: Emerging Research and Opportunities</t>
  </si>
  <si>
    <t>Slattery, Cheryl A.</t>
  </si>
  <si>
    <t>http://services.igi-global.com/resolvedoi/resolve.aspx?doi=10.4018/978-1-5225-5007-5</t>
    <phoneticPr fontId="3" type="noConversion"/>
  </si>
  <si>
    <t>9781522579168</t>
  </si>
  <si>
    <t>9781522579151</t>
  </si>
  <si>
    <t>Green Business: Concepts, Methodologies, Tools, and Applications</t>
  </si>
  <si>
    <t>http://services.igi-global.com/resolvedoi/resolve.aspx?doi=10.4018/978-1-5225-7915-1</t>
    <phoneticPr fontId="3" type="noConversion"/>
  </si>
  <si>
    <t>9781522584926</t>
  </si>
  <si>
    <t>9781522584919</t>
  </si>
  <si>
    <t>Handbook of Research on Consumption, Media, and Popular Culture in the Global Age</t>
  </si>
  <si>
    <t>Ozgen, Ozlen</t>
  </si>
  <si>
    <t>http://services.igi-global.com/resolvedoi/resolve.aspx?doi=10.4018/978-1-5225-8491-9</t>
    <phoneticPr fontId="3" type="noConversion"/>
  </si>
  <si>
    <t>9781522555582</t>
  </si>
  <si>
    <t>9781522555575</t>
  </si>
  <si>
    <t>Handbook of Research on Blended Learning Pedagogies and Professional Development in Higher Education</t>
  </si>
  <si>
    <t>http://services.igi-global.com/resolvedoi/resolve.aspx?doi=10.4018/978-1-5225-5557-5</t>
    <phoneticPr fontId="3" type="noConversion"/>
  </si>
  <si>
    <t>9781522590972</t>
  </si>
  <si>
    <t>9781522590965</t>
  </si>
  <si>
    <t>Hidden Link Prediction in Stochastic Social Networks</t>
  </si>
  <si>
    <t>Pandey, Babita</t>
  </si>
  <si>
    <t>http://services.igi-global.com/resolvedoi/resolve.aspx?doi=10.4018/978-1-5225-9096-5</t>
    <phoneticPr fontId="3" type="noConversion"/>
  </si>
  <si>
    <t>9781522592808</t>
  </si>
  <si>
    <t>9781522592792</t>
  </si>
  <si>
    <t>Multicultural Instructional Design: Concepts, Methodologies, Tools, and Applications</t>
  </si>
  <si>
    <t>http://services.igi-global.com/resolvedoi/resolve.aspx?doi=10.4018/978-1-5225-9279-2</t>
    <phoneticPr fontId="3" type="noConversion"/>
  </si>
  <si>
    <t>9781522599388</t>
  </si>
  <si>
    <t>9781522599364</t>
  </si>
  <si>
    <t>Strategic Business Models to Support Demand, Supply, and Destination Management in the Tourism and Hospitality Industry</t>
  </si>
  <si>
    <t>http://services.igi-global.com/resolvedoi/resolve.aspx?doi=10.4018/978-1-5225-9936-4</t>
    <phoneticPr fontId="3" type="noConversion"/>
  </si>
  <si>
    <t>9781522599982</t>
  </si>
  <si>
    <t>9781522599968</t>
  </si>
  <si>
    <t>Analyzing Workplace Deviance in Modern Organizations</t>
  </si>
  <si>
    <t>http://services.igi-global.com/resolvedoi/resolve.aspx?doi=10.4018/978-1-5225-9996-8</t>
    <phoneticPr fontId="3" type="noConversion"/>
  </si>
  <si>
    <t>9781799803676</t>
  </si>
  <si>
    <t>9781799803652</t>
  </si>
  <si>
    <t>Multilevel Approach to Competitiveness in the Global Tourism Industry</t>
  </si>
  <si>
    <t>Teixeira, Sérgio Jesus</t>
  </si>
  <si>
    <t>http://services.igi-global.com/resolvedoi/resolve.aspx?doi=10.4018/978-1-7998-0365-2</t>
    <phoneticPr fontId="3" type="noConversion"/>
  </si>
  <si>
    <t>9781799800606</t>
  </si>
  <si>
    <t>9781799800583</t>
  </si>
  <si>
    <t>Handbook of Research on Positive Organizational Behavior for Improved Workplace Performance</t>
  </si>
  <si>
    <t>Baykal, Elif</t>
  </si>
  <si>
    <t>http://services.igi-global.com/resolvedoi/resolve.aspx?doi=10.4018/978-1-7998-0058-3</t>
    <phoneticPr fontId="3" type="noConversion"/>
  </si>
  <si>
    <t>9781799812210</t>
  </si>
  <si>
    <t>9781799812197</t>
  </si>
  <si>
    <t>International Approaches to Bridging the Language Gap</t>
  </si>
  <si>
    <t>Huertas-Abril, Cristina-Aránzazu</t>
  </si>
  <si>
    <t>http://services.igi-global.com/resolvedoi/resolve.aspx?doi=10.4018/978-1-7998-1219-7</t>
    <phoneticPr fontId="3" type="noConversion"/>
  </si>
  <si>
    <t>9781799819646</t>
  </si>
  <si>
    <t>9781799819622</t>
  </si>
  <si>
    <t>Beyond Language Learning Instruction: Transformative Supports for Emergent Bilinguals and Educators</t>
  </si>
  <si>
    <t>Slapac, Alina</t>
  </si>
  <si>
    <t>http://services.igi-global.com/resolvedoi/resolve.aspx?doi=10.4018/978-1-7998-1962-2</t>
    <phoneticPr fontId="3" type="noConversion"/>
  </si>
  <si>
    <t>9781799814375</t>
  </si>
  <si>
    <t>9781799814351</t>
  </si>
  <si>
    <t>Preparing 21st Century Teachers for Teach Less, Learn More (TLLM) Pedagogies</t>
  </si>
  <si>
    <t>http://services.igi-global.com/resolvedoi/resolve.aspx?doi=10.4018/978-1-7998-1435-1</t>
    <phoneticPr fontId="3" type="noConversion"/>
  </si>
  <si>
    <t>9781799818298</t>
  </si>
  <si>
    <t>9781799818281</t>
  </si>
  <si>
    <t>Using New Media for Citizen Engagement and Participation</t>
  </si>
  <si>
    <t>Adria, Marco</t>
  </si>
  <si>
    <t>http://services.igi-global.com/resolvedoi/resolve.aspx?doi=10.4018/978-1-7998-1828-1</t>
    <phoneticPr fontId="3" type="noConversion"/>
  </si>
  <si>
    <t>9781799822189</t>
  </si>
  <si>
    <t>9781799822165</t>
  </si>
  <si>
    <t>Multi-Criteria Decision Analysis in Management</t>
  </si>
  <si>
    <t>Behl, Abhishek</t>
  </si>
  <si>
    <t>http://services.igi-global.com/resolvedoi/resolve.aspx?doi=10.4018/978-1-7998-2216-5</t>
    <phoneticPr fontId="3" type="noConversion"/>
  </si>
  <si>
    <t>9781799825890</t>
  </si>
  <si>
    <t>9781799825883</t>
  </si>
  <si>
    <t>Handbook of Research on Bilingual and Intercultural Education</t>
  </si>
  <si>
    <t>Gómez-Parra, María Elena</t>
  </si>
  <si>
    <t>http://services.igi-global.com/resolvedoi/resolve.aspx?doi=10.4018/978-1-7998-2588-3</t>
    <phoneticPr fontId="3" type="noConversion"/>
  </si>
  <si>
    <t>9781799832683</t>
  </si>
  <si>
    <t>9781799832669</t>
  </si>
  <si>
    <t>Examining Content and Language Integrated Learning (CLIL) Theories and Practices</t>
  </si>
  <si>
    <t>Khalyapina, Liudmila</t>
  </si>
  <si>
    <t>http://services.igi-global.com/resolvedoi/resolve.aspx?doi=10.4018/978-1-7998-3266-9</t>
    <phoneticPr fontId="3" type="noConversion"/>
  </si>
  <si>
    <t>9781799832720</t>
  </si>
  <si>
    <t>9781799832706</t>
  </si>
  <si>
    <t>Handbook of Research on the Political Economy of Communications and Media</t>
  </si>
  <si>
    <t>Karlidag, Serpil</t>
  </si>
  <si>
    <t>http://services.igi-global.com/resolvedoi/resolve.aspx?doi=10.4018/978-1-7998-3270-6</t>
    <phoneticPr fontId="3" type="noConversion"/>
  </si>
  <si>
    <t>9781799843672</t>
  </si>
  <si>
    <t>9781799843665</t>
  </si>
  <si>
    <t>Decreasing School Violence, Bullying, and Delinquency With Epistemic Inclusion</t>
  </si>
  <si>
    <t>Mechi, Aneta</t>
  </si>
  <si>
    <t>http://services.igi-global.com/resolvedoi/resolve.aspx?doi=10.4018/978-1-7998-4366-5</t>
    <phoneticPr fontId="3" type="noConversion"/>
  </si>
  <si>
    <t>9781799847588</t>
  </si>
  <si>
    <t>9781799847571</t>
  </si>
  <si>
    <t>Principles and Practices of Small-Scale Sport Event Management</t>
  </si>
  <si>
    <t>Fotiadis, Anestis</t>
  </si>
  <si>
    <t>http://services.igi-global.com/resolvedoi/resolve.aspx?doi=10.4018/978-1-7998-4757-1</t>
    <phoneticPr fontId="3" type="noConversion"/>
  </si>
  <si>
    <t>9781799839477</t>
  </si>
  <si>
    <t>9781799839460</t>
  </si>
  <si>
    <t>Visual Approaches to Instructional Design, Development, and Deployment</t>
  </si>
  <si>
    <t>http://services.igi-global.com/resolvedoi/resolve.aspx?doi=10.4018/978-1-7998-3946-0</t>
    <phoneticPr fontId="3" type="noConversion"/>
  </si>
  <si>
    <t>9781799850199</t>
  </si>
  <si>
    <t>9781799850182</t>
  </si>
  <si>
    <t>Open Access Implications for Sustainable Social, Political, and Economic Development</t>
  </si>
  <si>
    <t>http://services.igi-global.com/resolvedoi/resolve.aspx?doi=10.4018/978-1-7998-5018-2</t>
    <phoneticPr fontId="3" type="noConversion"/>
  </si>
  <si>
    <t>9781799872566</t>
  </si>
  <si>
    <t>9781799872542</t>
  </si>
  <si>
    <t>Handbook of Research on Methodologies for Design and Production Practices in Interior Architecture</t>
  </si>
  <si>
    <t>Garip, Ervin</t>
  </si>
  <si>
    <t>http://services.igi-global.com/resolvedoi/resolve.aspx?doi=10.4018/978-1-7998-7254-2</t>
    <phoneticPr fontId="3" type="noConversion"/>
  </si>
  <si>
    <t>9781799828334</t>
  </si>
  <si>
    <t>9781799828310</t>
  </si>
  <si>
    <t>Redefining the Role of Language in a Globalized World</t>
  </si>
  <si>
    <t>Wang, Ai-Ling</t>
  </si>
  <si>
    <t>http://services.igi-global.com/resolvedoi/resolve.aspx?doi=10.4018/978-1-7998-2831-0</t>
    <phoneticPr fontId="3" type="noConversion"/>
  </si>
  <si>
    <t>9781799871088</t>
  </si>
  <si>
    <t>9781799871064</t>
  </si>
  <si>
    <t>Handbook of Research on Applying Universal Design for Learning Across Disciplines: Concepts, Case Studies, and Practical Implementation</t>
  </si>
  <si>
    <t>Fovet, Frederic</t>
  </si>
  <si>
    <t>http://services.igi-global.com/resolvedoi/resolve.aspx?doi=10.4018/978-1-7998-7106-4</t>
    <phoneticPr fontId="3" type="noConversion"/>
  </si>
  <si>
    <t>9781799849049</t>
  </si>
  <si>
    <t>9781799849032</t>
  </si>
  <si>
    <t>Handbook of Research on Narrative Interactions</t>
  </si>
  <si>
    <t>http://services.igi-global.com/resolvedoi/resolve.aspx?doi=10.4018/978-1-7998-4903-2</t>
    <phoneticPr fontId="3" type="noConversion"/>
  </si>
  <si>
    <t>9781799875987</t>
  </si>
  <si>
    <t>9781799875963</t>
  </si>
  <si>
    <t>Comparative Research on Earnings Management, Corporate Governance, and Economic Value</t>
  </si>
  <si>
    <t>Vieira, Elisabete S.</t>
  </si>
  <si>
    <t>http://services.igi-global.com/resolvedoi/resolve.aspx?doi=10.4018/978-1-7998-7596-3</t>
    <phoneticPr fontId="3" type="noConversion"/>
  </si>
  <si>
    <r>
      <t xml:space="preserve">SSS02 </t>
    </r>
    <r>
      <rPr>
        <sz val="10"/>
        <rFont val="新細明體"/>
        <family val="1"/>
        <charset val="136"/>
      </rPr>
      <t>科學教育</t>
    </r>
  </si>
  <si>
    <t>9781799875192</t>
  </si>
  <si>
    <t>9781799875123</t>
  </si>
  <si>
    <t>Handbook of Research on Environmental Education Strategies for Addressing Climate Change and Sustainability</t>
  </si>
  <si>
    <t>http://services.igi-global.com/resolvedoi/resolve.aspx?doi=10.4018/978-1-7998-7512-3</t>
    <phoneticPr fontId="3" type="noConversion"/>
  </si>
  <si>
    <t>9781799844785</t>
  </si>
  <si>
    <t>9781799844778</t>
  </si>
  <si>
    <t>Strategies and Tactics for Multidisciplinary Writing</t>
  </si>
  <si>
    <t>Elufiede, Kemi</t>
  </si>
  <si>
    <t>http://services.igi-global.com/resolvedoi/resolve.aspx?doi=10.4018/978-1-7998-4477-8</t>
    <phoneticPr fontId="3" type="noConversion"/>
  </si>
  <si>
    <t>9781799855699</t>
  </si>
  <si>
    <t>9781799855675</t>
  </si>
  <si>
    <t>Handbook of Research on Theory and Practice of Financial Crimes</t>
  </si>
  <si>
    <t>http://services.igi-global.com/resolvedoi/resolve.aspx?doi=10.4018/978-1-7998-5567-5</t>
    <phoneticPr fontId="3" type="noConversion"/>
  </si>
  <si>
    <t>9781799858836</t>
  </si>
  <si>
    <t>9781799858829</t>
  </si>
  <si>
    <t>Developing Successful Global Strategies for Marketing Luxury Brands</t>
  </si>
  <si>
    <t>Mosca, Fabrizio</t>
  </si>
  <si>
    <t>http://services.igi-global.com/resolvedoi/resolve.aspx?doi=10.4018/978-1-7998-5882-9</t>
    <phoneticPr fontId="3" type="noConversion"/>
  </si>
  <si>
    <t>9781799875871</t>
  </si>
  <si>
    <t>9781799875857</t>
  </si>
  <si>
    <t>Physical Education Initiatives for Early Childhood Learners</t>
  </si>
  <si>
    <t>Gil-Madrona, Pedro</t>
  </si>
  <si>
    <t>http://services.igi-global.com/resolvedoi/resolve.aspx?doi=10.4018/978-1-7998-7585-7</t>
    <phoneticPr fontId="3" type="noConversion"/>
  </si>
  <si>
    <t>9781799876366</t>
  </si>
  <si>
    <t>9781799876342</t>
  </si>
  <si>
    <t>Financial Management and Risk Analysis Strategies for Business Sustainability</t>
  </si>
  <si>
    <t>Enríquez-Díaz, Joaquín</t>
  </si>
  <si>
    <t>http://services.igi-global.com/resolvedoi/resolve.aspx?doi=10.4018/978-1-7998-7634-2</t>
    <phoneticPr fontId="3" type="noConversion"/>
  </si>
  <si>
    <t>9781799887607</t>
  </si>
  <si>
    <t>9781799887584</t>
  </si>
  <si>
    <t>Money Laundering and Terrorism Financing in Global Financial Systems</t>
  </si>
  <si>
    <t>http://services.igi-global.com/resolvedoi/resolve.aspx?doi=10.4018/978-1-7998-8758-4</t>
    <phoneticPr fontId="3" type="noConversion"/>
  </si>
  <si>
    <t>9781799865025</t>
  </si>
  <si>
    <t>9781799865001</t>
  </si>
  <si>
    <t>Empowering Formal and Informal Leadership While Maintaining Teacher Identity</t>
  </si>
  <si>
    <t>Zugelder, Bryan S.</t>
  </si>
  <si>
    <t>http://services.igi-global.com/resolvedoi/resolve.aspx?doi=10.4018/978-1-7998-6500-1</t>
    <phoneticPr fontId="3" type="noConversion"/>
  </si>
  <si>
    <t>9781799874201</t>
  </si>
  <si>
    <t>9781799874188</t>
  </si>
  <si>
    <t>Complex Systems and Sustainability in the Global Auditing, Consulting, and Credit Rating Agency Industries</t>
  </si>
  <si>
    <t>Nwogugu, Michael I. C.</t>
  </si>
  <si>
    <t>http://services.igi-global.com/resolvedoi/resolve.aspx?doi=10.4018/978-1-7998-7418-8</t>
    <phoneticPr fontId="3" type="noConversion"/>
  </si>
  <si>
    <t>9781799877745</t>
  </si>
  <si>
    <t>9781799877721</t>
  </si>
  <si>
    <t>Handbook of Research on Policies, Protocols, and Practices for Social Work in the Digital World</t>
  </si>
  <si>
    <t>Özsungur, Fahri</t>
  </si>
  <si>
    <t>http://services.igi-global.com/resolvedoi/resolve.aspx?doi=10.4018/978-1-7998-7772-1</t>
    <phoneticPr fontId="3" type="noConversion"/>
  </si>
  <si>
    <t>9781799842620</t>
  </si>
  <si>
    <t>9781799842613</t>
  </si>
  <si>
    <t>Scientific Perspectives and Emerging Developments in Dance and the Performing Arts</t>
  </si>
  <si>
    <t>Pessali-Marques, Bárbara</t>
  </si>
  <si>
    <t>http://services.igi-global.com/resolvedoi/resolve.aspx?doi=10.4018/978-1-7998-4261-3</t>
    <phoneticPr fontId="3" type="noConversion"/>
  </si>
  <si>
    <t>9781799877707</t>
  </si>
  <si>
    <t>9781799877684</t>
  </si>
  <si>
    <t>Applying Design Thinking to the Measurement of Experiential Learning</t>
  </si>
  <si>
    <t>Peck, Adam</t>
  </si>
  <si>
    <t>http://services.igi-global.com/resolvedoi/resolve.aspx?doi=10.4018/978-1-7998-7768-4</t>
    <phoneticPr fontId="3" type="noConversion"/>
  </si>
  <si>
    <t>9781799880059</t>
  </si>
  <si>
    <t>9781799880035</t>
  </si>
  <si>
    <t>Advanced Digital Marketing Strategies in a Data-Driven Era</t>
  </si>
  <si>
    <t>Saura, Jose Ramon</t>
  </si>
  <si>
    <t>http://services.igi-global.com/resolvedoi/resolve.aspx?doi=10.4018/978-1-7998-8003-5</t>
    <phoneticPr fontId="3" type="noConversion"/>
  </si>
  <si>
    <t>9781799880837</t>
  </si>
  <si>
    <t>9781799880813</t>
  </si>
  <si>
    <t>Blockchain Technology and Applications for Digital Marketing</t>
  </si>
  <si>
    <t>Bansal, Rohit</t>
  </si>
  <si>
    <t>http://services.igi-global.com/resolvedoi/resolve.aspx?doi=10.4018/978-1-7998-8081-3</t>
    <phoneticPr fontId="3" type="noConversion"/>
  </si>
  <si>
    <t>9781799869900</t>
  </si>
  <si>
    <t>9781799869887</t>
  </si>
  <si>
    <t>Implementing Data Analytics and Architectures for Next Generation Wireless Communications</t>
  </si>
  <si>
    <t>Bhatt, Chintan</t>
  </si>
  <si>
    <t>http://services.igi-global.com/resolvedoi/resolve.aspx?doi=10.4018/978-1-7998-6988-7</t>
    <phoneticPr fontId="3" type="noConversion"/>
  </si>
  <si>
    <t>9781799848004</t>
  </si>
  <si>
    <t>9781799847991</t>
  </si>
  <si>
    <t>Achieving Organizational Agility, Intelligence, and Resilience Through Information Systems</t>
  </si>
  <si>
    <t>http://services.igi-global.com/resolvedoi/resolve.aspx?doi=10.4018/978-1-7998-4799-1</t>
    <phoneticPr fontId="3" type="noConversion"/>
  </si>
  <si>
    <t>9781799873419</t>
  </si>
  <si>
    <t>9781799873396</t>
  </si>
  <si>
    <t>Challenges and New Opportunities for Tourism in Inland Territories: Ecocultural Resources and Sustainable Initiatives</t>
  </si>
  <si>
    <t>Fernandes, Gonçalo Poeta</t>
  </si>
  <si>
    <t>http://services.igi-global.com/resolvedoi/resolve.aspx?doi=10.4018/978-1-7998-7339-6</t>
    <phoneticPr fontId="3" type="noConversion"/>
  </si>
  <si>
    <t>9781799873815</t>
  </si>
  <si>
    <t>9781799873792</t>
  </si>
  <si>
    <t>Policy and Practice Challenges for Equality in Education</t>
  </si>
  <si>
    <t>Neimann, Theresa</t>
  </si>
  <si>
    <t>http://services.igi-global.com/resolvedoi/resolve.aspx?doi=10.4018/978-1-7998-7379-2</t>
    <phoneticPr fontId="3" type="noConversion"/>
  </si>
  <si>
    <t>9781799880677</t>
  </si>
  <si>
    <t>9781799880653</t>
  </si>
  <si>
    <t>Future Advancements for CSR and the Sustainable Development Goals in a Post-COVID-19 World</t>
  </si>
  <si>
    <t>Pérez, Andrea</t>
  </si>
  <si>
    <t>http://services.igi-global.com/resolvedoi/resolve.aspx?doi=10.4018/978-1-7998-8065-3</t>
    <phoneticPr fontId="3" type="noConversion"/>
  </si>
  <si>
    <t>9781668436714</t>
  </si>
  <si>
    <t>9781668436707</t>
  </si>
  <si>
    <t>Research Anthology on Inclusive Practices for Educators and Administrators in Special Education</t>
  </si>
  <si>
    <t>http://services.igi-global.com/resolvedoi/resolve.aspx?doi=10.4018/978-1-6684-3670-7</t>
    <phoneticPr fontId="3" type="noConversion"/>
  </si>
  <si>
    <t>9781799882770</t>
  </si>
  <si>
    <t>9781799882756</t>
  </si>
  <si>
    <t>Handbook of Research on Future of Work and Education: Implications for Curriculum Delivery and Work Design</t>
  </si>
  <si>
    <t>Ramlall, Sunil</t>
  </si>
  <si>
    <t>http://services.igi-global.com/resolvedoi/resolve.aspx?doi=10.4018/978-1-7998-8275-6</t>
    <phoneticPr fontId="3" type="noConversion"/>
  </si>
  <si>
    <t>9781799882855</t>
  </si>
  <si>
    <t>9781799882831</t>
  </si>
  <si>
    <t>Methodological Innovations in Research and Academic Writing</t>
  </si>
  <si>
    <t>Zimmerman, Aaron Samuel</t>
  </si>
  <si>
    <t>http://services.igi-global.com/resolvedoi/resolve.aspx?doi=10.4018/978-1-7998-8283-1</t>
    <phoneticPr fontId="3" type="noConversion"/>
  </si>
  <si>
    <t>9781799887119</t>
  </si>
  <si>
    <t>9781799887096</t>
  </si>
  <si>
    <t>Logistics and Supply Chain Management in the Globalized Business Era</t>
  </si>
  <si>
    <t>http://services.igi-global.com/resolvedoi/resolve.aspx?doi=10.4018/978-1-7998-8709-6</t>
    <phoneticPr fontId="3" type="noConversion"/>
  </si>
  <si>
    <t>9781799875468</t>
  </si>
  <si>
    <t>9781799875451</t>
  </si>
  <si>
    <t>Handbook of Research on the Platform Economy and the Evolution of E-Commerce</t>
  </si>
  <si>
    <t>Ertz, Myriam</t>
  </si>
  <si>
    <t>http://services.igi-global.com/resolvedoi/resolve.aspx?doi=10.4018/978-1-7998-7545-1</t>
    <phoneticPr fontId="3" type="noConversion"/>
  </si>
  <si>
    <t>9781799876915</t>
  </si>
  <si>
    <t>9781799876892</t>
  </si>
  <si>
    <t>Handbook of Research on Emerging Business Models and the New World Economic Order</t>
  </si>
  <si>
    <t>http://services.igi-global.com/resolvedoi/resolve.aspx?doi=10.4018/978-1-7998-7689-2</t>
    <phoneticPr fontId="3" type="noConversion"/>
  </si>
  <si>
    <t>9781799877141</t>
  </si>
  <si>
    <t>9781799877127</t>
  </si>
  <si>
    <t>Handbook of Research on Digital Transformation, Industry Use Cases, and the Impact of Disruptive Technologies</t>
  </si>
  <si>
    <t>Wynn, Martin George</t>
  </si>
  <si>
    <t>http://services.igi-global.com/resolvedoi/resolve.aspx?doi=10.4018/978-1-7998-7712-7</t>
    <phoneticPr fontId="3" type="noConversion"/>
  </si>
  <si>
    <t>9781799879619</t>
  </si>
  <si>
    <t>9781799879596</t>
  </si>
  <si>
    <t>Adoption and Implementation of AI in Customer Relationship Management</t>
  </si>
  <si>
    <t>http://services.igi-global.com/resolvedoi/resolve.aspx?doi=10.4018/978-1-7998-7959-6</t>
    <phoneticPr fontId="3" type="noConversion"/>
  </si>
  <si>
    <t>9781799875505</t>
  </si>
  <si>
    <t>9781799875482</t>
  </si>
  <si>
    <t>Global Trends, Dynamics, and Imperatives for Strategic Development in Business Education in an Age of Disruption</t>
  </si>
  <si>
    <t>Zhuplev, Anatoly</t>
  </si>
  <si>
    <t>http://services.igi-global.com/resolvedoi/resolve.aspx?doi=10.4018/978-1-7998-7548-2</t>
    <phoneticPr fontId="3" type="noConversion"/>
  </si>
  <si>
    <t>9781799889526</t>
  </si>
  <si>
    <t>9781799889502</t>
  </si>
  <si>
    <t>Analyzing Telework, Trustworthiness, and Performance Using Leader-Member Exchange: COVID-19 Perspective</t>
  </si>
  <si>
    <t>Sr., Michael A. Brown</t>
  </si>
  <si>
    <t>http://services.igi-global.com/resolvedoi/resolve.aspx?doi=10.4018/978-1-7998-8950-2</t>
    <phoneticPr fontId="3" type="noConversion"/>
  </si>
  <si>
    <t>9781799876991</t>
  </si>
  <si>
    <t>9781799876977</t>
  </si>
  <si>
    <t>Innovations in the Design and Application of Alternative Digital Credentials</t>
  </si>
  <si>
    <t>Piedra, Daniel</t>
  </si>
  <si>
    <t>http://services.igi-global.com/resolvedoi/resolve.aspx?doi=10.4018/978-1-7998-7697-7</t>
    <phoneticPr fontId="3" type="noConversion"/>
  </si>
  <si>
    <t>9781799882695</t>
  </si>
  <si>
    <t>9781799882671</t>
  </si>
  <si>
    <t>Policies, Practices, and Protocols for the Implementation of Technology Into Language Learning</t>
  </si>
  <si>
    <t>Shaban, Abir El</t>
  </si>
  <si>
    <t>http://services.igi-global.com/resolvedoi/resolve.aspx?doi=10.4018/978-1-7998-8267-1</t>
    <phoneticPr fontId="3" type="noConversion"/>
  </si>
  <si>
    <t>9781799884996</t>
  </si>
  <si>
    <t>9781799884972</t>
  </si>
  <si>
    <t>Handbook of Research on Innovative Management Using AI in Industry 5.0</t>
  </si>
  <si>
    <t>Garg, Vikas</t>
  </si>
  <si>
    <t>http://services.igi-global.com/resolvedoi/resolve.aspx?doi=10.4018/978-1-7998-8497-2</t>
    <phoneticPr fontId="3" type="noConversion"/>
  </si>
  <si>
    <t>9781799885030</t>
  </si>
  <si>
    <t>9781799885016</t>
  </si>
  <si>
    <t>Handbook of Research on Global Aspects of Sustainable Finance in Times of Crises</t>
  </si>
  <si>
    <t>Gok, Ibrahim Yasar</t>
  </si>
  <si>
    <t>http://services.igi-global.com/resolvedoi/resolve.aspx?doi=10.4018/978-1-7998-8501-6</t>
    <phoneticPr fontId="3" type="noConversion"/>
  </si>
  <si>
    <t>9781799884491</t>
  </si>
  <si>
    <t>9781799884477</t>
  </si>
  <si>
    <t>FinTech Development for Financial Inclusiveness</t>
  </si>
  <si>
    <t>Anshari, Muhammad</t>
  </si>
  <si>
    <t>http://services.igi-global.com/resolvedoi/resolve.aspx?doi=10.4018/978-1-7998-8447-7</t>
    <phoneticPr fontId="3" type="noConversion"/>
  </si>
  <si>
    <t>9781799882961</t>
  </si>
  <si>
    <t>9781799882947</t>
  </si>
  <si>
    <t>Moving Businesses Online and Embracing E-Commerce: Impact and Opportunities Caused by COVID-19</t>
  </si>
  <si>
    <t>Semerádová, Tereza</t>
  </si>
  <si>
    <t>http://services.igi-global.com/resolvedoi/resolve.aspx?doi=10.4018/978-1-7998-8294-7</t>
    <phoneticPr fontId="3" type="noConversion"/>
  </si>
  <si>
    <t>9781799881919</t>
  </si>
  <si>
    <t>9781799881896</t>
  </si>
  <si>
    <t>Handbook of Research on Key Dimensions of Occupational Safety and Health Protection Management</t>
  </si>
  <si>
    <t>Živković, Snežana</t>
  </si>
  <si>
    <t>http://services.igi-global.com/resolvedoi/resolve.aspx?doi=10.4018/978-1-7998-8189-6</t>
    <phoneticPr fontId="3" type="noConversion"/>
  </si>
  <si>
    <t>9781799882640</t>
  </si>
  <si>
    <t>9781799882626</t>
  </si>
  <si>
    <t>Global Perspectives on Literary Tourism and Film-Induced Tourism</t>
  </si>
  <si>
    <t>Baleiro, Rita</t>
  </si>
  <si>
    <t>http://services.igi-global.com/resolvedoi/resolve.aspx?doi=10.4018/978-1-7998-8262-6</t>
    <phoneticPr fontId="3" type="noConversion"/>
  </si>
  <si>
    <t>9781799890379</t>
  </si>
  <si>
    <t>9781799890355</t>
  </si>
  <si>
    <t>Handbook of Research on Social Impacts of E-Payment and Blockchain Technology</t>
  </si>
  <si>
    <t>Lai, P.C.</t>
  </si>
  <si>
    <t>http://services.igi-global.com/resolvedoi/resolve.aspx?doi=10.4018/978-1-7998-9035-5</t>
    <phoneticPr fontId="3" type="noConversion"/>
  </si>
  <si>
    <t>9781799875055</t>
  </si>
  <si>
    <t>9781799875031</t>
  </si>
  <si>
    <t>Mass Communications and the Influence of Information During Times of Crises</t>
  </si>
  <si>
    <t>Al-Suqri, Mohammed Nasser</t>
  </si>
  <si>
    <t>http://services.igi-global.com/resolvedoi/resolve.aspx?doi=10.4018/978-1-7998-7503-1</t>
    <phoneticPr fontId="3" type="noConversion"/>
  </si>
  <si>
    <t>9781668433768</t>
  </si>
  <si>
    <t>9781668433744</t>
  </si>
  <si>
    <t>COVID-19 Pandemic Impact on New Economy Development and Societal Change</t>
  </si>
  <si>
    <t>Popescu, Cristina Raluca Gh.</t>
  </si>
  <si>
    <t>http://services.igi-global.com/resolvedoi/resolve.aspx?doi=10.4018/978-1-6684-3374-4</t>
    <phoneticPr fontId="3" type="noConversion"/>
  </si>
  <si>
    <t>9781668438824</t>
  </si>
  <si>
    <t>9781668438817</t>
  </si>
  <si>
    <t>Research Anthology on Innovative Research Methodologies and Utilization Across Multiple Disciplines</t>
  </si>
  <si>
    <t>http://services.igi-global.com/resolvedoi/resolve.aspx?doi=10.4018/978-1-6684-3881-7</t>
    <phoneticPr fontId="3" type="noConversion"/>
  </si>
  <si>
    <t>9781799885962</t>
  </si>
  <si>
    <t>9781799885948</t>
  </si>
  <si>
    <t>Gender Perspectives on Industry 4.0 and the Impact of Technology on Mainstreaming Female Employment</t>
  </si>
  <si>
    <t>Bala, Shashi</t>
  </si>
  <si>
    <t>http://services.igi-global.com/resolvedoi/resolve.aspx?doi=10.4018/978-1-7998-8594-8</t>
    <phoneticPr fontId="3" type="noConversion"/>
  </si>
  <si>
    <t>9781799886112</t>
  </si>
  <si>
    <t>9781799886099</t>
  </si>
  <si>
    <t>Handbook of Research on New Challenges and Global Outlooks in Financial Risk Management</t>
  </si>
  <si>
    <t>Madaleno, Mara</t>
  </si>
  <si>
    <t>http://services.igi-global.com/resolvedoi/resolve.aspx?doi=10.4018/978-1-7998-8609-9</t>
    <phoneticPr fontId="3" type="noConversion"/>
  </si>
  <si>
    <t>9781799885306</t>
  </si>
  <si>
    <t>9781799885283</t>
  </si>
  <si>
    <t>Handbook of Research on Digital Communications, Internet of Things, and the Future of Cultural Tourism</t>
  </si>
  <si>
    <t>http://services.igi-global.com/resolvedoi/resolve.aspx?doi=10.4018/978-1-7998-8528-3</t>
    <phoneticPr fontId="3" type="noConversion"/>
  </si>
  <si>
    <t>9781522549703</t>
  </si>
  <si>
    <t>9781522549697</t>
  </si>
  <si>
    <t>Design and Development of Affordable Healthcare Technologies</t>
  </si>
  <si>
    <t>Bit, Arindam</t>
  </si>
  <si>
    <t>http://services.igi-global.com/resolvedoi/resolve.aspx?doi=10.4018/978-1-5225-4969-7</t>
    <phoneticPr fontId="3" type="noConversion"/>
  </si>
  <si>
    <t>9781522538097</t>
  </si>
  <si>
    <t>9781522538080</t>
  </si>
  <si>
    <t>Deconstructing Stigma in Mental Health</t>
  </si>
  <si>
    <t>Canfield, Brittany A.</t>
  </si>
  <si>
    <t>http://services.igi-global.com/resolvedoi/resolve.aspx?doi=10.4018/978-1-5225-3808-0</t>
    <phoneticPr fontId="3" type="noConversion"/>
  </si>
  <si>
    <t>9781522549567</t>
  </si>
  <si>
    <t>9781522549550</t>
  </si>
  <si>
    <t>Handbook of Research on Psychosocial Perspectives of Human Communication Disorders</t>
  </si>
  <si>
    <t>Gupta, Sanjeev Kumar</t>
  </si>
  <si>
    <t>http://services.igi-global.com/resolvedoi/resolve.aspx?doi=10.4018/978-1-5225-4955-0</t>
    <phoneticPr fontId="3" type="noConversion"/>
  </si>
  <si>
    <t>9781522551508</t>
  </si>
  <si>
    <t>9781522551492</t>
  </si>
  <si>
    <t>Expert System Techniques in Biomedical Science Practice</t>
  </si>
  <si>
    <t>Pattnaik, Prasant Kumar</t>
  </si>
  <si>
    <t>http://services.igi-global.com/resolvedoi/resolve.aspx?doi=10.4018/978-1-5225-5149-2</t>
    <phoneticPr fontId="3" type="noConversion"/>
  </si>
  <si>
    <t>9781522532422</t>
  </si>
  <si>
    <t>9781522532415</t>
  </si>
  <si>
    <t>Web-Based Behavioral Therapies for Mental Disorders</t>
  </si>
  <si>
    <t>Langrial, Sitwat Usman</t>
  </si>
  <si>
    <t>http://services.igi-global.com/resolvedoi/resolve.aspx?doi=10.4018/978-1-5225-3241-5</t>
    <phoneticPr fontId="3" type="noConversion"/>
  </si>
  <si>
    <t>9781522577973</t>
  </si>
  <si>
    <t>9781522577966</t>
  </si>
  <si>
    <t>Advanced Classification Techniques for Healthcare Analysis</t>
  </si>
  <si>
    <t>http://services.igi-global.com/resolvedoi/resolve.aspx?doi=10.4018/978-1-5225-7796-6</t>
    <phoneticPr fontId="3" type="noConversion"/>
  </si>
  <si>
    <t>9781522575269</t>
  </si>
  <si>
    <t>9781522575252</t>
  </si>
  <si>
    <t>Design and Implementation of Healthcare Biometric Systems</t>
  </si>
  <si>
    <t>Kisku, Dakshina Ranjan</t>
  </si>
  <si>
    <t>http://services.igi-global.com/resolvedoi/resolve.aspx?doi=10.4018/978-1-5225-7525-2</t>
    <phoneticPr fontId="3" type="noConversion"/>
  </si>
  <si>
    <t>9781522576679</t>
  </si>
  <si>
    <t>9781522576662</t>
  </si>
  <si>
    <t>Substance Abuse and Addiction: Breakthroughs in Research and Practice</t>
  </si>
  <si>
    <t>http://services.igi-global.com/resolvedoi/resolve.aspx?doi=10.4018/978-1-5225-7666-2</t>
    <phoneticPr fontId="3" type="noConversion"/>
  </si>
  <si>
    <t>9781522573852</t>
  </si>
  <si>
    <t>9781522573845</t>
  </si>
  <si>
    <t>Psycho-Socio-Physical Dimensions of Adolescent Health Management: Emerging Research and Opportunities</t>
  </si>
  <si>
    <t>http://services.igi-global.com/resolvedoi/resolve.aspx?doi=10.4018/978-1-5225-7384-5</t>
    <phoneticPr fontId="3" type="noConversion"/>
  </si>
  <si>
    <t>9781522574538</t>
  </si>
  <si>
    <t>9781522574521</t>
  </si>
  <si>
    <t>The Mental Health Effects of Informal Caregiving: Emerging Research and Opportunities</t>
  </si>
  <si>
    <t>Ware, Debra Gavin</t>
  </si>
  <si>
    <t>http://services.igi-global.com/resolvedoi/resolve.aspx?doi=10.4018/978-1-5225-7452-1</t>
    <phoneticPr fontId="3" type="noConversion"/>
  </si>
  <si>
    <t>9781522571698</t>
  </si>
  <si>
    <t>9781522571681</t>
  </si>
  <si>
    <t>Virtual and Augmented Reality in Mental Health Treatment</t>
  </si>
  <si>
    <t>http://services.igi-global.com/resolvedoi/resolve.aspx?doi=10.4018/978-1-5225-7168-1</t>
    <phoneticPr fontId="3" type="noConversion"/>
  </si>
  <si>
    <t>9781522560746</t>
  </si>
  <si>
    <t>9781522560739</t>
  </si>
  <si>
    <t>Multicultural Counseling Applications for Improved Mental Healthcare Services</t>
  </si>
  <si>
    <t>Jegathesan, Anasuya Jegathevi</t>
  </si>
  <si>
    <t>http://services.igi-global.com/resolvedoi/resolve.aspx?doi=10.4018/978-1-5225-6073-9</t>
    <phoneticPr fontId="3" type="noConversion"/>
  </si>
  <si>
    <t>9781522574903</t>
  </si>
  <si>
    <t>9781522574897</t>
  </si>
  <si>
    <t>Advanced Methodologies and Technologies in Medicine and Healthcare</t>
  </si>
  <si>
    <t>http://services.igi-global.com/resolvedoi/resolve.aspx?doi=10.4018/978-1-5225-7489-7</t>
    <phoneticPr fontId="3" type="noConversion"/>
  </si>
  <si>
    <t>9781522579533</t>
  </si>
  <si>
    <t>9781522579526</t>
  </si>
  <si>
    <t>Medical Data Security for Bioengineers</t>
  </si>
  <si>
    <t>http://services.igi-global.com/resolvedoi/resolve.aspx?doi=10.4018/978-1-5225-7952-6</t>
    <phoneticPr fontId="3" type="noConversion"/>
  </si>
  <si>
    <t>9781522598640</t>
  </si>
  <si>
    <t>9781522598633</t>
  </si>
  <si>
    <t>Virtual and Mobile Healthcare: Breakthroughs in Research and Practice</t>
  </si>
  <si>
    <t>http://services.igi-global.com/resolvedoi/resolve.aspx?doi=10.4018/978-1-5225-9863-3</t>
    <phoneticPr fontId="3" type="noConversion"/>
  </si>
  <si>
    <r>
      <t xml:space="preserve">B3010G0 </t>
    </r>
    <r>
      <rPr>
        <sz val="10"/>
        <rFont val="新細明體"/>
        <family val="1"/>
        <charset val="136"/>
      </rPr>
      <t>森林、水保及生態</t>
    </r>
  </si>
  <si>
    <t>9781799800163</t>
  </si>
  <si>
    <t>9781799800149</t>
  </si>
  <si>
    <t>Handbook of Research on the Conservation and Restoration of Tropical Dry Forests</t>
  </si>
  <si>
    <t>Bhadouria, Rahul</t>
  </si>
  <si>
    <t>http://services.igi-global.com/resolvedoi/resolve.aspx?doi=10.4018/978-1-7998-0014-9</t>
    <phoneticPr fontId="3" type="noConversion"/>
  </si>
  <si>
    <t>9781799811862</t>
  </si>
  <si>
    <t>9781799811855</t>
  </si>
  <si>
    <t>Psycho-Social Perspectives on Mental Health and Well-Being</t>
  </si>
  <si>
    <t>Padmanaban, Srinivasan</t>
  </si>
  <si>
    <t>http://services.igi-global.com/resolvedoi/resolve.aspx?doi=10.4018/978-1-7998-1185-5</t>
    <phoneticPr fontId="3" type="noConversion"/>
  </si>
  <si>
    <r>
      <t xml:space="preserve">B1030A0 </t>
    </r>
    <r>
      <rPr>
        <sz val="10"/>
        <rFont val="新細明體"/>
        <family val="1"/>
        <charset val="136"/>
      </rPr>
      <t>藥學</t>
    </r>
  </si>
  <si>
    <t>9781799844877</t>
  </si>
  <si>
    <t>9781799844860</t>
  </si>
  <si>
    <t>Pedagogies for Pharmacy Curricula</t>
  </si>
  <si>
    <t>Figueiredo, Isabel Vitória</t>
    <phoneticPr fontId="3" type="noConversion"/>
  </si>
  <si>
    <t>http://services.igi-global.com/resolvedoi/resolve.aspx?doi=10.4018/978-1-7998-4486-0</t>
    <phoneticPr fontId="3" type="noConversion"/>
  </si>
  <si>
    <t>9781799853558</t>
  </si>
  <si>
    <t>9781799853541</t>
  </si>
  <si>
    <t>Research Anthology on Food Waste Reduction and Alternative Diets for Food and Nutrition Security</t>
  </si>
  <si>
    <t>http://services.igi-global.com/resolvedoi/resolve.aspx?doi=10.4018/978-1-7998-5354-1</t>
    <phoneticPr fontId="3" type="noConversion"/>
  </si>
  <si>
    <r>
      <t xml:space="preserve">B101004 </t>
    </r>
    <r>
      <rPr>
        <sz val="10"/>
        <rFont val="新細明體"/>
        <family val="1"/>
        <charset val="136"/>
      </rPr>
      <t>醫學之生化及分子生物</t>
    </r>
  </si>
  <si>
    <t>9781799850502</t>
  </si>
  <si>
    <t>9781799850496</t>
  </si>
  <si>
    <t>Handbook of Research on Nano-Strategies for Combatting Antimicrobial Resistance and Cancer</t>
  </si>
  <si>
    <t>Saravanan, Muthupandian</t>
  </si>
  <si>
    <t>http://services.igi-global.com/resolvedoi/resolve.aspx?doi=10.4018/978-1-7998-5049-6</t>
    <phoneticPr fontId="3" type="noConversion"/>
  </si>
  <si>
    <r>
      <t xml:space="preserve">B3010A0 </t>
    </r>
    <r>
      <rPr>
        <sz val="10"/>
        <rFont val="新細明體"/>
        <family val="1"/>
        <charset val="136"/>
      </rPr>
      <t>農藝及園藝</t>
    </r>
  </si>
  <si>
    <t>9781799870647</t>
  </si>
  <si>
    <t>9781799870623</t>
  </si>
  <si>
    <t>Handbook of Research on Microbial Remediation and Microbial Biotechnology for Sustainable Soil</t>
  </si>
  <si>
    <t>Malik, Junaid Ahmad</t>
  </si>
  <si>
    <t>http://services.igi-global.com/resolvedoi/resolve.aspx?doi=10.4018/978-1-7998-7062-3</t>
    <phoneticPr fontId="3" type="noConversion"/>
  </si>
  <si>
    <t>9781799871903</t>
  </si>
  <si>
    <t>9781799871880</t>
  </si>
  <si>
    <t>Machine Learning and Data Analytics for Predicting, Managing, and Monitoring Disease</t>
  </si>
  <si>
    <t>Roy, Manikant</t>
  </si>
  <si>
    <t>http://services.igi-global.com/resolvedoi/resolve.aspx?doi=10.4018/978-1-7998-7188-0</t>
    <phoneticPr fontId="3" type="noConversion"/>
  </si>
  <si>
    <r>
      <t xml:space="preserve">B1020DA </t>
    </r>
    <r>
      <rPr>
        <sz val="10"/>
        <rFont val="新細明體"/>
        <family val="1"/>
        <charset val="136"/>
      </rPr>
      <t>護理</t>
    </r>
  </si>
  <si>
    <t>9781799891628</t>
  </si>
  <si>
    <t>9781799891611</t>
  </si>
  <si>
    <t>Research Anthology on Nursing Education and Overcoming Challenges in the Workplace</t>
  </si>
  <si>
    <t>http://services.igi-global.com/resolvedoi/resolve.aspx?doi=10.4018/978-1-7998-9161-1</t>
    <phoneticPr fontId="3" type="noConversion"/>
  </si>
  <si>
    <t>9781799882268</t>
  </si>
  <si>
    <t>9781799882251</t>
  </si>
  <si>
    <t>Handbook of Research on Pathophysiology and Strategies for the Management of COVID-19</t>
  </si>
  <si>
    <t>Hiba, Omar El</t>
  </si>
  <si>
    <t>http://services.igi-global.com/resolvedoi/resolve.aspx?doi=10.4018/978-1-7998-8225-1</t>
    <phoneticPr fontId="3" type="noConversion"/>
  </si>
  <si>
    <t>9781799882527</t>
  </si>
  <si>
    <t>9781799882510</t>
  </si>
  <si>
    <t>Innovative Approaches for Nanobiotechnology in Healthcare Systems</t>
  </si>
  <si>
    <t>Amna, Touseef</t>
  </si>
  <si>
    <t>http://services.igi-global.com/resolvedoi/resolve.aspx?doi=10.4018/978-1-7998-8251-0</t>
    <phoneticPr fontId="3" type="noConversion"/>
  </si>
  <si>
    <t>9781799877103</t>
  </si>
  <si>
    <t>9781799877097</t>
  </si>
  <si>
    <t>Handbook of Research on Applied Intelligence for Health and Clinical Informatics</t>
  </si>
  <si>
    <t>Thakare, Anuradha Dheeraj</t>
  </si>
  <si>
    <t>http://services.igi-global.com/resolvedoi/resolve.aspx?doi=10.4018/978-1-7998-7709-7</t>
    <phoneticPr fontId="3" type="noConversion"/>
  </si>
  <si>
    <t>9781799874164</t>
  </si>
  <si>
    <t>9781799874157</t>
  </si>
  <si>
    <t>Food Safety Practices in the Restaurant Industry</t>
  </si>
  <si>
    <t>Khairatun, Siti Nurhayati</t>
  </si>
  <si>
    <t>http://services.igi-global.com/resolvedoi/resolve.aspx?doi=10.4018/978-1-7998-7415-7</t>
    <phoneticPr fontId="3" type="noConversion"/>
  </si>
  <si>
    <t>9781799887843</t>
  </si>
  <si>
    <t>9781799887836</t>
  </si>
  <si>
    <t>Advancing Health Education With Telemedicine</t>
  </si>
  <si>
    <t>Lopez, Mildred</t>
  </si>
  <si>
    <t>http://services.igi-global.com/resolvedoi/resolve.aspx?doi=10.4018/978-1-7998-8783-6</t>
    <phoneticPr fontId="3" type="noConversion"/>
  </si>
  <si>
    <r>
      <t xml:space="preserve">B2010C0 </t>
    </r>
    <r>
      <rPr>
        <sz val="10"/>
        <rFont val="新細明體"/>
        <family val="1"/>
        <charset val="136"/>
      </rPr>
      <t>生物學之生化及分子生物</t>
    </r>
  </si>
  <si>
    <t>9781799891468</t>
  </si>
  <si>
    <t>9781799891444</t>
  </si>
  <si>
    <t>Physiology, Genomics, and Biotechnological Applications of Extremophiles</t>
  </si>
  <si>
    <t>Gunjal, Aparna B.</t>
  </si>
  <si>
    <t>http://services.igi-global.com/resolvedoi/resolve.aspx?doi=10.4018/978-1-7998-9144-4</t>
    <phoneticPr fontId="3" type="noConversion"/>
  </si>
  <si>
    <t>9781799891994</t>
  </si>
  <si>
    <t>9781799891987</t>
  </si>
  <si>
    <t>Quality of Healthcare in the Aftermath of the COVID-19 Pandemic</t>
  </si>
  <si>
    <t>http://services.igi-global.com/resolvedoi/resolve.aspx?doi=10.4018/978-1-7998-9198-7</t>
    <phoneticPr fontId="3" type="noConversion"/>
  </si>
  <si>
    <t>9781799884613</t>
  </si>
  <si>
    <t>9781799884590</t>
  </si>
  <si>
    <t>Prevention and Management of Soil Erosion and Torrential Floods</t>
  </si>
  <si>
    <t>Milutinović, Slobodan</t>
  </si>
  <si>
    <t>http://services.igi-global.com/resolvedoi/resolve.aspx?doi=10.4018/978-1-7998-8459-0</t>
    <phoneticPr fontId="3" type="noConversion"/>
  </si>
  <si>
    <t>9781799874348</t>
  </si>
  <si>
    <t>9781799874331</t>
  </si>
  <si>
    <t>Futuristic Design and Intelligent Computational Techniques in Neuroscience and Neuroengineering</t>
  </si>
  <si>
    <t>Singh, Harjit Pal</t>
  </si>
  <si>
    <t>http://services.igi-global.com/resolvedoi/resolve.aspx?doi=10.4018/978-1-7998-7433-1</t>
    <phoneticPr fontId="3" type="noConversion"/>
  </si>
  <si>
    <t>9781799889304</t>
  </si>
  <si>
    <t>9781799889298</t>
  </si>
  <si>
    <t>Approaches and Applications of Deep Learning in Virtual Medical Care</t>
  </si>
  <si>
    <t>http://services.igi-global.com/resolvedoi/resolve.aspx?doi=10.4018/978-1-7998-8929-8</t>
    <phoneticPr fontId="3" type="noConversion"/>
  </si>
  <si>
    <r>
      <t xml:space="preserve">B2020G0 </t>
    </r>
    <r>
      <rPr>
        <sz val="10"/>
        <rFont val="新細明體"/>
        <family val="1"/>
        <charset val="136"/>
      </rPr>
      <t>生物多樣性及長期生態</t>
    </r>
  </si>
  <si>
    <t>9781799879374</t>
  </si>
  <si>
    <t>9781799879350</t>
  </si>
  <si>
    <t>Tactical Sciences for Biosecurity in Animal and Plant Systems</t>
  </si>
  <si>
    <t>Cardwell, Kitty F.</t>
    <phoneticPr fontId="3" type="noConversion"/>
  </si>
  <si>
    <t>http://services.igi-global.com/resolvedoi/resolve.aspx?doi=10.4018/978-1-7998-7935-0</t>
    <phoneticPr fontId="3" type="noConversion"/>
  </si>
  <si>
    <t>9781522517573</t>
  </si>
  <si>
    <t>9781522517566</t>
  </si>
  <si>
    <t>Multi-Agent-Based Simulations Applied to Biological and Environmental Systems</t>
  </si>
  <si>
    <t>Adamatti, Diana Francisca</t>
  </si>
  <si>
    <t>http://services.igi-global.com/resolvedoi/resolve.aspx?doi=10.4018/978-1-5225-1756-6</t>
    <phoneticPr fontId="3" type="noConversion"/>
  </si>
  <si>
    <t>9781522539919</t>
  </si>
  <si>
    <t>9781522539902</t>
  </si>
  <si>
    <t>Promoting Global Environmental Sustainability and Cooperation</t>
  </si>
  <si>
    <t>Idris, Sofia</t>
  </si>
  <si>
    <t>http://services.igi-global.com/resolvedoi/resolve.aspx?doi=10.4018/978-1-5225-3990-2</t>
    <phoneticPr fontId="3" type="noConversion"/>
  </si>
  <si>
    <t>9781522556350</t>
  </si>
  <si>
    <t>9781522556343</t>
  </si>
  <si>
    <t>Cyber Security and Threats: Concepts, Methodologies, Tools, and Applications</t>
  </si>
  <si>
    <t>http://services.igi-global.com/resolvedoi/resolve.aspx?doi=10.4018/978-1-5225-5634-3</t>
    <phoneticPr fontId="3" type="noConversion"/>
  </si>
  <si>
    <r>
      <t xml:space="preserve">E80 </t>
    </r>
    <r>
      <rPr>
        <sz val="10"/>
        <rFont val="新細明體"/>
        <family val="1"/>
        <charset val="136"/>
      </rPr>
      <t>海洋工程</t>
    </r>
  </si>
  <si>
    <t>9781522573098</t>
  </si>
  <si>
    <t>9781522573081</t>
  </si>
  <si>
    <t>Oceanography and Coastal Informatics: Breakthroughs in Research and Practice</t>
  </si>
  <si>
    <t>http://services.igi-global.com/resolvedoi/resolve.aspx?doi=10.4018/978-1-5225-7308-1</t>
    <phoneticPr fontId="3" type="noConversion"/>
  </si>
  <si>
    <t>9781522597698</t>
  </si>
  <si>
    <t>9781522597674</t>
  </si>
  <si>
    <t>Design, Implementation, and Analysis of Next Generation Optical Networks: Emerging Research and Opportunities</t>
  </si>
  <si>
    <t>Imtiaz, Waqas Ahmed</t>
  </si>
  <si>
    <t>http://services.igi-global.com/resolvedoi/resolve.aspx?doi=10.4018/978-1-5225-9767-4</t>
    <phoneticPr fontId="3" type="noConversion"/>
  </si>
  <si>
    <t>9781799804437</t>
  </si>
  <si>
    <t>9781799804413</t>
  </si>
  <si>
    <t>Developing Eco-Cities Through Policy, Planning, and Innovation: Can It Really Work?</t>
  </si>
  <si>
    <t>http://services.igi-global.com/resolvedoi/resolve.aspx?doi=10.4018/978-1-7998-0441-3</t>
    <phoneticPr fontId="3" type="noConversion"/>
  </si>
  <si>
    <t>9781522596851</t>
  </si>
  <si>
    <t>9781522596837</t>
  </si>
  <si>
    <t>Design and Optimization of Sensors and Antennas for Wearable Devices: Emerging Research and Opportunities</t>
  </si>
  <si>
    <t>Singh, Vinod Kumar</t>
  </si>
  <si>
    <t>http://services.igi-global.com/resolvedoi/resolve.aspx?doi=10.4018/978-1-5225-9683-7</t>
    <phoneticPr fontId="3" type="noConversion"/>
  </si>
  <si>
    <t>9781799809524</t>
  </si>
  <si>
    <t>9781799809517</t>
  </si>
  <si>
    <t>Natural Language Processing: Concepts, Methodologies, Tools, and Applications</t>
  </si>
  <si>
    <t>http://services.igi-global.com/resolvedoi/resolve.aspx?doi=10.4018/978-1-7998-0951-7</t>
    <phoneticPr fontId="3" type="noConversion"/>
  </si>
  <si>
    <t>9781522594918</t>
  </si>
  <si>
    <t>9781522594895</t>
  </si>
  <si>
    <t>Personal Data Protection and Legal Developments in the European Union</t>
  </si>
  <si>
    <t>Tzanou, Maria</t>
  </si>
  <si>
    <t>http://services.igi-global.com/resolvedoi/resolve.aspx?doi=10.4018/978-1-5225-9489-5</t>
    <phoneticPr fontId="3" type="noConversion"/>
  </si>
  <si>
    <t>9781799819141</t>
  </si>
  <si>
    <t>9781799819127</t>
  </si>
  <si>
    <t>Applied Social Network Analysis With R: Emerging Research and Opportunities</t>
  </si>
  <si>
    <t>Gençer, Mehmet</t>
  </si>
  <si>
    <t>http://services.igi-global.com/resolvedoi/resolve.aspx?doi=10.4018/978-1-7998-1912-7</t>
    <phoneticPr fontId="3" type="noConversion"/>
  </si>
  <si>
    <t>9781799877486</t>
  </si>
  <si>
    <t>9781799877059</t>
  </si>
  <si>
    <t>Research Anthology on Artificial Intelligence Applications in Security</t>
  </si>
  <si>
    <t>http://services.igi-global.com/resolvedoi/resolve.aspx?doi=10.4018/978-1-7998-7705-9</t>
    <phoneticPr fontId="3" type="noConversion"/>
  </si>
  <si>
    <t>9781799866954</t>
  </si>
  <si>
    <t>9781799866947</t>
  </si>
  <si>
    <t>Blockchain and AI Technology in the Industrial Internet of Things</t>
  </si>
  <si>
    <t>Pani, Subhendu Kumar</t>
  </si>
  <si>
    <t>http://services.igi-global.com/resolvedoi/resolve.aspx?doi=10.4018/978-1-7998-6694-7</t>
    <phoneticPr fontId="3" type="noConversion"/>
  </si>
  <si>
    <t>9781799867111</t>
  </si>
  <si>
    <t>9781799867098</t>
  </si>
  <si>
    <t>Role of IoT in Green Energy Systems</t>
  </si>
  <si>
    <t>http://services.igi-global.com/resolvedoi/resolve.aspx?doi=10.4018/978-1-7998-6709-8</t>
    <phoneticPr fontId="3" type="noConversion"/>
  </si>
  <si>
    <t>9781799870807</t>
  </si>
  <si>
    <t>9781799870784</t>
  </si>
  <si>
    <t>MATLAB® With Applications in Mechanics and Tribology</t>
  </si>
  <si>
    <t>http://services.igi-global.com/resolvedoi/resolve.aspx?doi=10.4018/978-1-7998-7078-4</t>
    <phoneticPr fontId="3" type="noConversion"/>
  </si>
  <si>
    <t>9781799875666</t>
  </si>
  <si>
    <t>9781799875642</t>
  </si>
  <si>
    <t>Advancements in Fuzzy Reliability Theory</t>
  </si>
  <si>
    <t>Kumar, Akshay</t>
  </si>
  <si>
    <t>http://services.igi-global.com/resolvedoi/resolve.aspx?doi=10.4018/978-1-7998-7564-2</t>
    <phoneticPr fontId="3" type="noConversion"/>
  </si>
  <si>
    <t>9781799876120</t>
  </si>
  <si>
    <t>9781799876113</t>
  </si>
  <si>
    <t>Emerging Materials and Advanced Designs for Wearable Antennas</t>
  </si>
  <si>
    <t>http://services.igi-global.com/resolvedoi/resolve.aspx?doi=10.4018/978-1-7998-7611-3</t>
    <phoneticPr fontId="3" type="noConversion"/>
  </si>
  <si>
    <t>9781799876281</t>
  </si>
  <si>
    <t>9781799876267</t>
  </si>
  <si>
    <t>Electric Vehicles and the Future of Energy Efficient Transportation</t>
  </si>
  <si>
    <t>Subramaniam, Umashankar</t>
  </si>
  <si>
    <t>http://services.igi-global.com/resolvedoi/resolve.aspx?doi=10.4018/978-1-7998-7626-7</t>
    <phoneticPr fontId="3" type="noConversion"/>
  </si>
  <si>
    <t>9781799833017</t>
  </si>
  <si>
    <t>9781799832997</t>
  </si>
  <si>
    <t>Handbook of Research on Machine Learning Techniques for Pattern Recognition and Information Security</t>
  </si>
  <si>
    <t>Dua, Mohit</t>
  </si>
  <si>
    <t>http://services.igi-global.com/resolvedoi/resolve.aspx?doi=10.4018/978-1-7998-3299-7</t>
    <phoneticPr fontId="3" type="noConversion"/>
  </si>
  <si>
    <t>9781799873730</t>
  </si>
  <si>
    <t>9781799873716</t>
  </si>
  <si>
    <t>Data Preprocessing, Active Learning, and Cost Perceptive Approaches for Resolving Data Imbalance</t>
  </si>
  <si>
    <t>Rana, Dipti P.</t>
  </si>
  <si>
    <t>http://services.igi-global.com/resolvedoi/resolve.aspx?doi=10.4018/978-1-7998-7371-6</t>
    <phoneticPr fontId="3" type="noConversion"/>
  </si>
  <si>
    <t>9781799838517</t>
  </si>
  <si>
    <t>9781799838500</t>
  </si>
  <si>
    <t>Visibilities and Invisibilities in Smart Cities: Emerging Research and Opportunities</t>
  </si>
  <si>
    <t>McKenna, H. Patricia</t>
  </si>
  <si>
    <t>http://services.igi-global.com/resolvedoi/resolve.aspx?doi=10.4018/978-1-7998-3850-0</t>
    <phoneticPr fontId="3" type="noConversion"/>
  </si>
  <si>
    <t>9781799869832</t>
  </si>
  <si>
    <t>9781799869818</t>
  </si>
  <si>
    <t>Integration and Implementation of the Internet of Things Through Cloud Computing</t>
  </si>
  <si>
    <t>http://services.igi-global.com/resolvedoi/resolve.aspx?doi=10.4018/978-1-7998-6981-8</t>
    <phoneticPr fontId="3" type="noConversion"/>
  </si>
  <si>
    <t>9781799870258</t>
  </si>
  <si>
    <t>9781799870234</t>
  </si>
  <si>
    <t>Advancements in Sustainable Architecture and Energy Efficiency</t>
  </si>
  <si>
    <t>González-Lezcano, Roberto A.</t>
  </si>
  <si>
    <t>http://services.igi-global.com/resolvedoi/resolve.aspx?doi=10.4018/978-1-7998-7023-4</t>
    <phoneticPr fontId="3" type="noConversion"/>
  </si>
  <si>
    <t>9781799869863</t>
  </si>
  <si>
    <t>9781799869856</t>
  </si>
  <si>
    <t>Handbook of Research on Applied Data Science and Artificial Intelligence in Business and Industry</t>
  </si>
  <si>
    <t>Chkoniya, Valentina</t>
  </si>
  <si>
    <t>http://services.igi-global.com/resolvedoi/resolve.aspx?doi=10.4018/978-1-7998-6985-6</t>
    <phoneticPr fontId="3" type="noConversion"/>
  </si>
  <si>
    <t>9781799869948</t>
  </si>
  <si>
    <t>9781799869924</t>
  </si>
  <si>
    <t>Handbook of Research on 5G Networks and Advancements in Computing, Electronics, and Electrical Engineering</t>
  </si>
  <si>
    <t>Nwajana, Augustine O.</t>
  </si>
  <si>
    <t>http://services.igi-global.com/resolvedoi/resolve.aspx?doi=10.4018/978-1-7998-6992-4</t>
    <phoneticPr fontId="3" type="noConversion"/>
  </si>
  <si>
    <t>9781799877301</t>
  </si>
  <si>
    <t>9781799877288</t>
  </si>
  <si>
    <t>Deep Natural Language Processing and AI Applications for Industry 5.0</t>
  </si>
  <si>
    <t>Tanwar, Poonam</t>
  </si>
  <si>
    <t>http://services.igi-global.com/resolvedoi/resolve.aspx?doi=10.4018/978-1-7998-7728-8</t>
    <phoneticPr fontId="3" type="noConversion"/>
  </si>
  <si>
    <t>9781799884286</t>
  </si>
  <si>
    <t>9781799884262</t>
  </si>
  <si>
    <t>Handbook of Research on Novel Practices and Current Successes in Achieving the Sustainable Development Goals</t>
  </si>
  <si>
    <t>http://services.igi-global.com/resolvedoi/resolve.aspx?doi=10.4018/978-1-7998-8426-2</t>
    <phoneticPr fontId="3" type="noConversion"/>
  </si>
  <si>
    <t>9781668424094</t>
  </si>
  <si>
    <t>9781668424087</t>
  </si>
  <si>
    <t>Research Anthology on Artificial Neural Network Applications</t>
  </si>
  <si>
    <t>http://services.igi-global.com/resolvedoi/resolve.aspx?doi=10.4018/978-1-6684-2408-7</t>
    <phoneticPr fontId="3" type="noConversion"/>
  </si>
  <si>
    <t>9781799875581</t>
  </si>
  <si>
    <t>9781799875567</t>
  </si>
  <si>
    <t>Ranked Set Sampling Models and Methods</t>
  </si>
  <si>
    <t>Bouza-Herrera, Carlos N.</t>
  </si>
  <si>
    <t>http://services.igi-global.com/resolvedoi/resolve.aspx?doi=10.4018/978-1-7998-7556-7</t>
    <phoneticPr fontId="3" type="noConversion"/>
  </si>
  <si>
    <t>9781799889021</t>
  </si>
  <si>
    <t>9781799889007</t>
  </si>
  <si>
    <t>Disruptive Technologies and Eco-Innovation for Sustainable Development</t>
  </si>
  <si>
    <t>http://services.igi-global.com/resolvedoi/resolve.aspx?doi=10.4018/978-1-7998-8900-7</t>
    <phoneticPr fontId="3" type="noConversion"/>
  </si>
  <si>
    <t>9781799879299</t>
  </si>
  <si>
    <t>9781799879275</t>
  </si>
  <si>
    <t>Regulatory Aspects of Artificial Intelligence on Blockchain</t>
  </si>
  <si>
    <t>Tehrani, Pardis Moslemzadeh</t>
  </si>
  <si>
    <t>http://services.igi-global.com/resolvedoi/resolve.aspx?doi=10.4018/978-1-7998-7927-5</t>
    <phoneticPr fontId="3" type="noConversion"/>
  </si>
  <si>
    <t>9781668436639</t>
  </si>
  <si>
    <t>9781668436622</t>
  </si>
  <si>
    <t>Research Anthology on Big Data Analytics, Architectures, and Applications</t>
  </si>
  <si>
    <t>http://services.igi-global.com/resolvedoi/resolve.aspx?doi=10.4018/978-1-6684-3662-2</t>
    <phoneticPr fontId="3" type="noConversion"/>
  </si>
  <si>
    <t>9781799880912</t>
  </si>
  <si>
    <t>9781799880899</t>
  </si>
  <si>
    <t>Next-Generation Applications and Implementations of Gamification Systems</t>
  </si>
  <si>
    <t>Portela, Filipe</t>
  </si>
  <si>
    <t>http://services.igi-global.com/resolvedoi/resolve.aspx?doi=10.4018/978-1-7998-8089-9</t>
    <phoneticPr fontId="3" type="noConversion"/>
  </si>
  <si>
    <r>
      <t xml:space="preserve">E61 </t>
    </r>
    <r>
      <rPr>
        <sz val="10"/>
        <rFont val="新細明體"/>
        <family val="1"/>
        <charset val="136"/>
      </rPr>
      <t>控制工程</t>
    </r>
  </si>
  <si>
    <t>9781668436950</t>
  </si>
  <si>
    <t>9781668436943</t>
  </si>
  <si>
    <t>Research Anthology on Cross-Disciplinary Designs and Applications of Automation</t>
  </si>
  <si>
    <t>http://services.igi-global.com/resolvedoi/resolve.aspx?doi=10.4018/978-1-6684-3694-3</t>
    <phoneticPr fontId="3" type="noConversion"/>
  </si>
  <si>
    <t>9781799841876</t>
  </si>
  <si>
    <t>9781799841869</t>
  </si>
  <si>
    <t>Emerging Trends in IoT and Integration with Data Science, Cloud Computing, and Big Data Analytics</t>
  </si>
  <si>
    <t>Taser, Pelin Yildirim</t>
  </si>
  <si>
    <t>http://services.igi-global.com/resolvedoi/resolve.aspx?doi=10.4018/978-1-7998-4186-9</t>
    <phoneticPr fontId="3" type="noConversion"/>
  </si>
  <si>
    <t>9781799879572</t>
  </si>
  <si>
    <t>9781799879558</t>
  </si>
  <si>
    <t>Socrates Digital™ for Learning and Problem Solving</t>
  </si>
  <si>
    <t>Salisbury, Mark</t>
  </si>
  <si>
    <t>http://services.igi-global.com/resolvedoi/resolve.aspx?doi=10.4018/978-1-7998-7955-8</t>
    <phoneticPr fontId="3" type="noConversion"/>
  </si>
  <si>
    <t>9781799884842</t>
  </si>
  <si>
    <t>9781799884828</t>
  </si>
  <si>
    <t>Handbook of Research on Sustainable Development Goals, Climate Change, and Digitalization</t>
  </si>
  <si>
    <t>http://services.igi-global.com/resolvedoi/resolve.aspx?doi=10.4018/978-1-7998-8482-8</t>
    <phoneticPr fontId="3" type="noConversion"/>
  </si>
  <si>
    <t>9781668437032</t>
  </si>
  <si>
    <t>9781668437025</t>
  </si>
  <si>
    <t>Research Anthology on Agile Software, Software Development, and Testing</t>
  </si>
  <si>
    <t>http://services.igi-global.com/resolvedoi/resolve.aspx?doi=10.4018/978-1-6684-3702-5</t>
    <phoneticPr fontId="3" type="noConversion"/>
  </si>
  <si>
    <t>9781668440148</t>
  </si>
  <si>
    <t>9781668440124</t>
  </si>
  <si>
    <t>Optimal Planning of Smart Grid With Renewable Energy Resources</t>
  </si>
  <si>
    <t>Jain, Naveen</t>
  </si>
  <si>
    <t>http://services.igi-global.com/resolvedoi/resolve.aspx?doi=10.4018/978-1-6684-4012-4</t>
    <phoneticPr fontId="3" type="noConversion"/>
  </si>
  <si>
    <t>9781799881636</t>
  </si>
  <si>
    <t>9781799881612</t>
  </si>
  <si>
    <t>Deep Learning Applications for Cyber-Physical Systems</t>
  </si>
  <si>
    <t>Mundada, Monica R.</t>
  </si>
  <si>
    <t>http://services.igi-global.com/resolvedoi/resolve.aspx?doi=10.4018/978-1-7998-8161-2</t>
    <phoneticPr fontId="3" type="noConversion"/>
  </si>
  <si>
    <t>9781799883333</t>
  </si>
  <si>
    <t>9781799883319</t>
  </si>
  <si>
    <t>Addressing Environmental Challenges Through Spatial Planning</t>
  </si>
  <si>
    <t>http://services.igi-global.com/resolvedoi/resolve.aspx?doi=10.4018/978-1-7998-8331-9</t>
    <phoneticPr fontId="3" type="noConversion"/>
  </si>
  <si>
    <t>9781799885634</t>
  </si>
  <si>
    <t>9781799885610</t>
  </si>
  <si>
    <t>Applications of Nature-Inspired Computing in Renewable Energy Systems</t>
  </si>
  <si>
    <t>http://services.igi-global.com/resolvedoi/resolve.aspx?doi=10.4018/978-1-7998-8561-0</t>
    <phoneticPr fontId="3" type="noConversion"/>
  </si>
  <si>
    <t>9781799873259</t>
  </si>
  <si>
    <t>9781799873235</t>
  </si>
  <si>
    <t>Security, Data Analytics, and Energy-Aware Solutions in the IoT</t>
  </si>
  <si>
    <t>Hei, Xiali</t>
  </si>
  <si>
    <t>http://services.igi-global.com/resolvedoi/resolve.aspx?doi=10.4018/978-1-7998-7323-5</t>
    <phoneticPr fontId="3" type="noConversion"/>
  </si>
  <si>
    <t>9781799883685</t>
  </si>
  <si>
    <t>9781799883678</t>
  </si>
  <si>
    <t>Advancing Smarter and More Secure Industrial Applications Using AI, IoT, and Blockchain Technology</t>
  </si>
  <si>
    <t>Saini, Kavita</t>
  </si>
  <si>
    <t>http://services.igi-global.com/resolvedoi/resolve.aspx?doi=10.4018/978-1-7998-8367-8</t>
    <phoneticPr fontId="3" type="noConversion"/>
  </si>
  <si>
    <t>9781799886952</t>
  </si>
  <si>
    <t>9781799886938</t>
  </si>
  <si>
    <t>Cybersecurity Capabilities in Developing Nations and Its Impact on Global Security</t>
  </si>
  <si>
    <t>http://services.igi-global.com/resolvedoi/resolve.aspx?doi=10.4018/978-1-7998-8693-8</t>
    <phoneticPr fontId="3" type="noConversion"/>
  </si>
  <si>
    <t>9781799887881</t>
  </si>
  <si>
    <t>9781799887867</t>
  </si>
  <si>
    <t>Handbook of Research on Lifestyle Sustainability and Management Solutions Using AI, Big Data Analytics, and Visualization</t>
  </si>
  <si>
    <t>Iyer, Sailesh Suryanarayan</t>
  </si>
  <si>
    <t>http://services.igi-global.com/resolvedoi/resolve.aspx?doi=10.4018/978-1-7998-8786-7</t>
    <phoneticPr fontId="3" type="noConversion"/>
  </si>
  <si>
    <t>9781668438862</t>
  </si>
  <si>
    <t>9781668438855</t>
  </si>
  <si>
    <t>Research Anthology on Measuring and Achieving Sustainable Development Goals</t>
  </si>
  <si>
    <t>http://services.igi-global.com/resolvedoi/resolve.aspx?doi=10.4018/978-1-6684-3885-5</t>
    <phoneticPr fontId="3" type="noConversion"/>
  </si>
  <si>
    <t>9781799868606</t>
  </si>
  <si>
    <t>9781799868583</t>
  </si>
  <si>
    <t>Developing Charging Infrastructure and Technologies for Electric Vehicles</t>
  </si>
  <si>
    <t>Alam, Mohammad Saad</t>
  </si>
  <si>
    <t>http://services.igi-global.com/resolvedoi/resolve.aspx?doi=10.4018/978-1-7998-6858-3</t>
    <phoneticPr fontId="3" type="noConversion"/>
  </si>
  <si>
    <t>9781799884156</t>
  </si>
  <si>
    <t>9781799884132</t>
  </si>
  <si>
    <t>Data Mining Approaches for Big Data and Sentiment Analysis in Social Media</t>
  </si>
  <si>
    <t>Gupta, Brij B.</t>
  </si>
  <si>
    <t>http://services.igi-global.com/resolvedoi/resolve.aspx?doi=10.4018/978-1-7998-8413-2</t>
    <phoneticPr fontId="3" type="noConversion"/>
  </si>
  <si>
    <t>9781799884576</t>
  </si>
  <si>
    <t>9781799884552</t>
  </si>
  <si>
    <t>Biomedical and Business Applications Using Artificial Neural Networks and Machine Learning</t>
  </si>
  <si>
    <t>http://services.igi-global.com/resolvedoi/resolve.aspx?doi=10.4018/978-1-7998-8455-2</t>
    <phoneticPr fontId="3" type="noConversion"/>
  </si>
  <si>
    <t>9781799891345</t>
  </si>
  <si>
    <t>9781799891321</t>
  </si>
  <si>
    <t>Integrating AI in IoT Analytics on the Cloud for Healthcare Applications</t>
  </si>
  <si>
    <t>Mala, D. Djeya</t>
  </si>
  <si>
    <t>http://services.igi-global.com/resolvedoi/resolve.aspx?doi=10.4018/978-1-7998-9132-1</t>
    <phoneticPr fontId="3" type="noConversion"/>
  </si>
  <si>
    <t>9781799883845</t>
  </si>
  <si>
    <t>9781799883821</t>
  </si>
  <si>
    <t>Blockchain Technology and Computational Excellence for Society 5.0</t>
  </si>
  <si>
    <t>Khan, Shahnawaz</t>
  </si>
  <si>
    <t>http://services.igi-global.com/resolvedoi/resolve.aspx?doi=10.4018/978-1-7998-8382-1</t>
    <phoneticPr fontId="3" type="noConversion"/>
  </si>
  <si>
    <t>ICT Tools and Applications for Accessible Tourism</t>
  </si>
  <si>
    <t>Eusébio, Celeste</t>
  </si>
  <si>
    <t>IGI</t>
    <phoneticPr fontId="36" type="noConversion"/>
  </si>
  <si>
    <t>http://services.igi-global.com/resolvedoi/resolve.aspx?doi=10.4018/978-1-7998-6428-8</t>
    <phoneticPr fontId="36" type="noConversion"/>
  </si>
  <si>
    <t>Structural Dynamics and Static Nonlinear Analysis From Theory to Application</t>
  </si>
  <si>
    <t>http://services.igi-global.com/resolvedoi/resolve.aspx?doi=10.4018/978-1-7998-4399-3</t>
    <phoneticPr fontId="36" type="noConversion"/>
  </si>
  <si>
    <r>
      <t xml:space="preserve">H41 </t>
    </r>
    <r>
      <rPr>
        <sz val="10"/>
        <color theme="1"/>
        <rFont val="新細明體"/>
        <family val="1"/>
        <charset val="136"/>
      </rPr>
      <t>管理一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人資、組織行為、策略管理、國企、醫管、科管</t>
    </r>
    <r>
      <rPr>
        <sz val="10"/>
        <color theme="1"/>
        <rFont val="Times New Roman"/>
        <family val="1"/>
      </rPr>
      <t>)</t>
    </r>
  </si>
  <si>
    <r>
      <t xml:space="preserve">E09 </t>
    </r>
    <r>
      <rPr>
        <sz val="10"/>
        <color theme="1"/>
        <rFont val="新細明體"/>
        <family val="1"/>
        <charset val="136"/>
      </rPr>
      <t>土木、水利、工程</t>
    </r>
  </si>
  <si>
    <r>
      <rPr>
        <sz val="10"/>
        <rFont val="新細明體"/>
        <family val="1"/>
        <charset val="136"/>
      </rPr>
      <t>序號</t>
    </r>
    <phoneticPr fontId="36" type="noConversion"/>
  </si>
  <si>
    <r>
      <rPr>
        <sz val="10"/>
        <rFont val="新細明體"/>
        <family val="1"/>
        <charset val="136"/>
      </rPr>
      <t>備註</t>
    </r>
    <phoneticPr fontId="36" type="noConversion"/>
  </si>
  <si>
    <r>
      <rPr>
        <b/>
        <sz val="10"/>
        <color indexed="13"/>
        <rFont val="新細明體"/>
        <family val="1"/>
        <charset val="136"/>
      </rPr>
      <t>連結</t>
    </r>
    <phoneticPr fontId="3" type="noConversion"/>
  </si>
  <si>
    <t>9781522539445</t>
  </si>
  <si>
    <t>9781522539438</t>
  </si>
  <si>
    <t>Social Justice and Parent Partnerships in Multicultural Education Contexts</t>
  </si>
  <si>
    <t>Norris, Katherine E.L.</t>
  </si>
  <si>
    <t>http://services.igi-global.com/resolvedoi/resolve.aspx?doi=10.4018/978-1-5225-3943-8</t>
    <phoneticPr fontId="36" type="noConversion"/>
  </si>
  <si>
    <t>9781522529859</t>
  </si>
  <si>
    <t>9781522529842</t>
  </si>
  <si>
    <t>Extending the Principles of Flipped Learning to Achieve Measurable Results: Emerging Research and Opportunities</t>
  </si>
  <si>
    <t>Swart, William</t>
  </si>
  <si>
    <t>http://services.igi-global.com/resolvedoi/resolve.aspx?doi=10.4018/978-1-5225-2984-2</t>
    <phoneticPr fontId="36" type="noConversion"/>
  </si>
  <si>
    <t>9781522538745</t>
  </si>
  <si>
    <t>9781522538738</t>
  </si>
  <si>
    <t>Handbook of Research on Pedagogical Models for Next-Generation Teaching and Learning</t>
  </si>
  <si>
    <t>http://services.igi-global.com/resolvedoi/resolve.aspx?doi=10.4018/978-1-5225-3873-8</t>
    <phoneticPr fontId="36" type="noConversion"/>
  </si>
  <si>
    <t>9781522530831</t>
  </si>
  <si>
    <t>9781522530824</t>
  </si>
  <si>
    <t>Promoting Global Competencies Through Media Literacy</t>
  </si>
  <si>
    <t>http://services.igi-global.com/resolvedoi/resolve.aspx?doi=10.4018/978-1-5225-3082-4</t>
    <phoneticPr fontId="36" type="noConversion"/>
  </si>
  <si>
    <t>9781799825197</t>
  </si>
  <si>
    <t>9781799825173</t>
  </si>
  <si>
    <t>Challenges and Opportunities for Transforming From STEM to STEAM Education</t>
  </si>
  <si>
    <t>Thomas, Kelli</t>
  </si>
  <si>
    <t>http://services.igi-global.com/resolvedoi/resolve.aspx?doi=10.4018/978-1-7998-2517-3</t>
    <phoneticPr fontId="36" type="noConversion"/>
  </si>
  <si>
    <t>9781799825456</t>
  </si>
  <si>
    <t>9781799825432</t>
  </si>
  <si>
    <t>Navigating Fake News, Alternative Facts, and Misinformation in a Post-Truth World</t>
  </si>
  <si>
    <t>Dalkir, Kimiz</t>
  </si>
  <si>
    <t>http://services.igi-global.com/resolvedoi/resolve.aspx?doi=10.4018/978-1-7998-2543-2</t>
    <phoneticPr fontId="36" type="noConversion"/>
  </si>
  <si>
    <t>9781522594369</t>
  </si>
  <si>
    <t>9781522594345</t>
  </si>
  <si>
    <t>Social Justice and Putting Theory Into Practice in Schools and Communities</t>
  </si>
  <si>
    <t>Brand, Susan Trostle</t>
  </si>
  <si>
    <t>http://services.igi-global.com/resolvedoi/resolve.aspx?doi=10.4018/978-1-5225-9434-5</t>
    <phoneticPr fontId="36" type="noConversion"/>
  </si>
  <si>
    <t>9781799804277</t>
  </si>
  <si>
    <t>9781799804260</t>
  </si>
  <si>
    <t>Technology-Enhanced Formative Assessment Practices in Higher Education</t>
  </si>
  <si>
    <t>Dann, Christopher Ewart</t>
  </si>
  <si>
    <t>http://services.igi-global.com/resolvedoi/resolve.aspx?doi=10.4018/978-1-7998-0426-0</t>
    <phoneticPr fontId="36" type="noConversion"/>
  </si>
  <si>
    <t>9781799820130</t>
  </si>
  <si>
    <t>9781799820116</t>
  </si>
  <si>
    <t>Challenges and Opportunities of Corporate Governance Transformation in the Digital Era</t>
  </si>
  <si>
    <t>Kuznetsov, Mikhail Yevgenievich</t>
  </si>
  <si>
    <t>http://services.igi-global.com/resolvedoi/resolve.aspx?doi=10.4018/978-1-7998-2011-6</t>
    <phoneticPr fontId="36" type="noConversion"/>
  </si>
  <si>
    <r>
      <t xml:space="preserve">H08 </t>
    </r>
    <r>
      <rPr>
        <sz val="10"/>
        <rFont val="新細明體"/>
        <family val="1"/>
        <charset val="136"/>
      </rPr>
      <t>哲學</t>
    </r>
  </si>
  <si>
    <t>9781799834366</t>
  </si>
  <si>
    <t>9781799834359</t>
  </si>
  <si>
    <t>Research Anthology on Religious Impacts on Society</t>
  </si>
  <si>
    <t>http://services.igi-global.com/resolvedoi/resolve.aspx?doi=10.4018/978-1-7998-3435-9</t>
    <phoneticPr fontId="36" type="noConversion"/>
  </si>
  <si>
    <t>9781799832034</t>
  </si>
  <si>
    <t>9781799832010</t>
  </si>
  <si>
    <t>Handbook of Research on New Media Applications in Public Relations and Advertising</t>
  </si>
  <si>
    <t>Esiyok, Elif</t>
  </si>
  <si>
    <t>http://services.igi-global.com/resolvedoi/resolve.aspx?doi=10.4018/978-1-7998-3201-0</t>
    <phoneticPr fontId="36" type="noConversion"/>
  </si>
  <si>
    <t>9781799871040</t>
  </si>
  <si>
    <t>9781799871033</t>
  </si>
  <si>
    <t>Advancing the Power of Learning Analytics and Big Data in Education</t>
  </si>
  <si>
    <t>http://services.igi-global.com/resolvedoi/resolve.aspx?doi=10.4018/978-1-7998-7103-3</t>
    <phoneticPr fontId="36" type="noConversion"/>
  </si>
  <si>
    <t>9781799858218</t>
  </si>
  <si>
    <t>9781799858201</t>
  </si>
  <si>
    <t>Cases on Critical Practices for Modern and Future Human Resources Management</t>
  </si>
  <si>
    <t>Akella, Devi</t>
  </si>
  <si>
    <t>http://services.igi-global.com/resolvedoi/resolve.aspx?doi=10.4018/978-1-7998-5820-1</t>
    <phoneticPr fontId="36" type="noConversion"/>
  </si>
  <si>
    <t>9781799868279</t>
  </si>
  <si>
    <t>9781799868255</t>
  </si>
  <si>
    <t>Handbook of Research on Representing Health and Medicine in Modern Media</t>
  </si>
  <si>
    <t>http://services.igi-global.com/resolvedoi/resolve.aspx?doi=10.4018/978-1-7998-6825-5</t>
    <phoneticPr fontId="36" type="noConversion"/>
  </si>
  <si>
    <t>9781799879411</t>
  </si>
  <si>
    <t>9781799879398</t>
  </si>
  <si>
    <t>Understanding the Active Economy and Emerging Research on the Value of Sports, Recreation, and Wellness</t>
  </si>
  <si>
    <t>Finch, David J.</t>
  </si>
  <si>
    <t>http://services.igi-global.com/resolvedoi/resolve.aspx?doi=10.4018/978-1-7998-7939-8</t>
    <phoneticPr fontId="36" type="noConversion"/>
  </si>
  <si>
    <t>9781799873655</t>
  </si>
  <si>
    <t>9781799873631</t>
  </si>
  <si>
    <t>Political and Economic Implications of Blockchain Technology in Business and Healthcare</t>
  </si>
  <si>
    <t>Rodrigues, Dário de Oliveira</t>
  </si>
  <si>
    <t>http://services.igi-global.com/resolvedoi/resolve.aspx?doi=10.4018/978-1-7998-7363-1</t>
    <phoneticPr fontId="36" type="noConversion"/>
  </si>
  <si>
    <t>9781799872337</t>
  </si>
  <si>
    <t>9781799872313</t>
  </si>
  <si>
    <t>Big Data Analytics for Improved Accuracy, Efficiency, and Decision Making in Digital Marketing</t>
  </si>
  <si>
    <t>Singh, Amandeep</t>
  </si>
  <si>
    <t>http://services.igi-global.com/resolvedoi/resolve.aspx?doi=10.4018/978-1-7998-7231-3</t>
    <phoneticPr fontId="36" type="noConversion"/>
  </si>
  <si>
    <t>9781799876519</t>
  </si>
  <si>
    <t>9781799876496</t>
  </si>
  <si>
    <t>Evolving Multicultural Education for Global Classrooms</t>
  </si>
  <si>
    <t>http://services.igi-global.com/resolvedoi/resolve.aspx?doi=10.4018/978-1-7998-7649-6</t>
    <phoneticPr fontId="36" type="noConversion"/>
  </si>
  <si>
    <t>9781799870715</t>
  </si>
  <si>
    <t>9781799870692</t>
  </si>
  <si>
    <t>Esports Research and Its Integration in Education</t>
  </si>
  <si>
    <t>Harvey, Miles M.</t>
  </si>
  <si>
    <t>http://services.igi-global.com/resolvedoi/resolve.aspx?doi=10.4018/978-1-7998-7069-2</t>
    <phoneticPr fontId="36" type="noConversion"/>
  </si>
  <si>
    <t>9781799856931</t>
  </si>
  <si>
    <t>9781799856917</t>
  </si>
  <si>
    <t>Handbook of Research on the Role of Tourism in Achieving Sustainable Development Goals</t>
  </si>
  <si>
    <t>Brandão, Filipa</t>
  </si>
  <si>
    <t>http://services.igi-global.com/resolvedoi/resolve.aspx?doi=10.4018/978-1-7998-5691-7</t>
    <phoneticPr fontId="36" type="noConversion"/>
  </si>
  <si>
    <t>9781799872924</t>
  </si>
  <si>
    <t>9781799872917</t>
  </si>
  <si>
    <t>Research Anthology on Fake News, Political Warfare, and Combatting the Spread of Misinformation</t>
  </si>
  <si>
    <t>http://services.igi-global.com/resolvedoi/resolve.aspx?doi=10.4018/978-1-7998-7291-7</t>
    <phoneticPr fontId="36" type="noConversion"/>
  </si>
  <si>
    <t>9781799873983</t>
  </si>
  <si>
    <t>9781799873969</t>
  </si>
  <si>
    <t>Ergonomics and Business Policies for the Promotion of Well-Being in the Workplace</t>
  </si>
  <si>
    <t>Montoya-Reyes, Mildrend</t>
  </si>
  <si>
    <t>http://services.igi-global.com/resolvedoi/resolve.aspx?doi=10.4018/978-1-7998-7396-9</t>
    <phoneticPr fontId="36" type="noConversion"/>
  </si>
  <si>
    <t>9781799886990</t>
  </si>
  <si>
    <t>9781799886976</t>
  </si>
  <si>
    <t>Utilizing Blockchain Technologies in Manufacturing and Logistics Management</t>
  </si>
  <si>
    <t>Goyal, S. B.</t>
  </si>
  <si>
    <t>http://services.igi-global.com/resolvedoi/resolve.aspx?doi=10.4018/978-1-7998-8697-6</t>
    <phoneticPr fontId="36" type="noConversion"/>
  </si>
  <si>
    <t>9781799887324</t>
  </si>
  <si>
    <t>9781799887300</t>
  </si>
  <si>
    <t>Poverty Impacts on Literacy Education</t>
  </si>
  <si>
    <t>Tussey, Jill</t>
  </si>
  <si>
    <t>http://services.igi-global.com/resolvedoi/resolve.aspx?doi=10.4018/978-1-7998-8730-0</t>
    <phoneticPr fontId="36" type="noConversion"/>
  </si>
  <si>
    <t>9781799868804</t>
  </si>
  <si>
    <t>9781799868781</t>
  </si>
  <si>
    <t>Cases on Technologies in Education From Classroom 2.0 to Society 5.0</t>
  </si>
  <si>
    <t>http://services.igi-global.com/resolvedoi/resolve.aspx?doi=10.4018/978-1-7998-6878-1</t>
    <phoneticPr fontId="36" type="noConversion"/>
  </si>
  <si>
    <t>9781799879459</t>
  </si>
  <si>
    <t>9781799879435</t>
  </si>
  <si>
    <t>Cases on Optimizing the Asset Management Process</t>
  </si>
  <si>
    <t>González-Prida, Vicente</t>
  </si>
  <si>
    <t>http://services.igi-global.com/resolvedoi/resolve.aspx?doi=10.4018/978-1-7998-7943-5</t>
    <phoneticPr fontId="36" type="noConversion"/>
  </si>
  <si>
    <t>9781799884231</t>
  </si>
  <si>
    <t>9781799884217</t>
  </si>
  <si>
    <t>Handbook of Research on Digital Citizenship and Management During Crises</t>
  </si>
  <si>
    <t>Öngün, Erdem</t>
  </si>
  <si>
    <t>http://services.igi-global.com/resolvedoi/resolve.aspx?doi=10.4018/978-1-7998-8421-7</t>
    <phoneticPr fontId="36" type="noConversion"/>
  </si>
  <si>
    <t>9781799886327</t>
  </si>
  <si>
    <t>9781799886303</t>
  </si>
  <si>
    <t>Handbook of Research on Cyberchondria, Health Literacy, and the Role of Media in Society's Perception of Medical Information</t>
  </si>
  <si>
    <t>Aker, Hacer</t>
  </si>
  <si>
    <t>http://services.igi-global.com/resolvedoi/resolve.aspx?doi=10.4018/978-1-7998-8630-3</t>
    <phoneticPr fontId="36" type="noConversion"/>
  </si>
  <si>
    <t>9781522529545</t>
  </si>
  <si>
    <t>9781522529538</t>
  </si>
  <si>
    <t>Handbook of Research on Digital Content, Mobile Learning, and Technology Integration Models in Teacher Education</t>
  </si>
  <si>
    <t>http://services.igi-global.com/resolvedoi/resolve.aspx?doi=10.4018/978-1-5225-2953-8</t>
    <phoneticPr fontId="36" type="noConversion"/>
  </si>
  <si>
    <t>9781668453575</t>
  </si>
  <si>
    <t>9781668453568</t>
  </si>
  <si>
    <t>Research Anthology on Music Education in the Digital Era</t>
  </si>
  <si>
    <t>http://services.igi-global.com/resolvedoi/resolve.aspx?doi=10.4018/978-1-6684-5356-8</t>
    <phoneticPr fontId="36" type="noConversion"/>
  </si>
  <si>
    <t>9781799894964</t>
  </si>
  <si>
    <t>9781799894940</t>
  </si>
  <si>
    <t>New Considerations and Best Practices for Training Special Education Teachers</t>
  </si>
  <si>
    <t>Bell, Jeremy</t>
  </si>
  <si>
    <t>http://services.igi-global.com/resolvedoi/resolve.aspx?doi=10.4018/978-1-7998-9494-0</t>
    <phoneticPr fontId="36" type="noConversion"/>
  </si>
  <si>
    <r>
      <t xml:space="preserve">H06 </t>
    </r>
    <r>
      <rPr>
        <sz val="10"/>
        <rFont val="新細明體"/>
        <family val="1"/>
        <charset val="136"/>
      </rPr>
      <t>歷史學</t>
    </r>
  </si>
  <si>
    <t>9781799894407</t>
  </si>
  <si>
    <t>9781799894384</t>
  </si>
  <si>
    <t>Cultural Encounters and Tolerance Through Analyses of Social and Artistic Evidences: From History to the Present</t>
  </si>
  <si>
    <t>Altınöz, Meltem Özkan</t>
  </si>
  <si>
    <t>http://services.igi-global.com/resolvedoi/resolve.aspx?doi=10.4018/978-1-7998-9438-4</t>
    <phoneticPr fontId="36" type="noConversion"/>
  </si>
  <si>
    <t>9781799891505</t>
  </si>
  <si>
    <t>9781799891482</t>
  </si>
  <si>
    <t>Gastronomy, Hospitality, and the Future of the Restaurant Industry: Post-COVID-19 Perspectives</t>
  </si>
  <si>
    <t>Borges, Ana Pinto</t>
  </si>
  <si>
    <t>http://services.igi-global.com/resolvedoi/resolve.aspx?doi=10.4018/978-1-7998-9148-2</t>
    <phoneticPr fontId="36" type="noConversion"/>
  </si>
  <si>
    <t>9781799869061</t>
  </si>
  <si>
    <t>9781799869047</t>
  </si>
  <si>
    <t>Mobile Computing and Technology Applications in Tourism and Hospitality</t>
  </si>
  <si>
    <t>http://services.igi-global.com/resolvedoi/resolve.aspx?doi=10.4018/978-1-7998-6904-7</t>
    <phoneticPr fontId="36" type="noConversion"/>
  </si>
  <si>
    <t>9781799838456</t>
  </si>
  <si>
    <t>9781799838449</t>
  </si>
  <si>
    <t>Redefining Journalism in an Age of Technological Advancements, Changing Demographics, and Social Issues</t>
  </si>
  <si>
    <t>Johnson, Phylis</t>
  </si>
  <si>
    <t>http://services.igi-global.com/resolvedoi/resolve.aspx?doi=10.4018/978-1-7998-3844-9</t>
    <phoneticPr fontId="36" type="noConversion"/>
  </si>
  <si>
    <t>9781799896586</t>
  </si>
  <si>
    <t>9781799896562</t>
  </si>
  <si>
    <t>Handbook of Research on Museum Management in the Digital Era</t>
  </si>
  <si>
    <t>Bifulco, Francesco</t>
  </si>
  <si>
    <t>http://services.igi-global.com/resolvedoi/resolve.aspx?doi=10.4018/978-1-7998-9656-2</t>
    <phoneticPr fontId="36" type="noConversion"/>
  </si>
  <si>
    <t>9781799870210</t>
  </si>
  <si>
    <t>9781799870203</t>
  </si>
  <si>
    <t>Preparing Early Childhood Teachers for Managing Emergencies</t>
  </si>
  <si>
    <t>Ajayi, Hannah O.</t>
  </si>
  <si>
    <t>http://services.igi-global.com/resolvedoi/resolve.aspx?doi=10.4018/978-1-7998-7020-3</t>
    <phoneticPr fontId="36" type="noConversion"/>
  </si>
  <si>
    <t>9781799892878</t>
  </si>
  <si>
    <t>9781799892854</t>
  </si>
  <si>
    <t>Sustainability and Competitiveness in the Hospitality Industry</t>
  </si>
  <si>
    <t>Costa, Vânia</t>
  </si>
  <si>
    <t>http://services.igi-global.com/resolvedoi/resolve.aspx?doi=10.4018/978-1-7998-9285-4</t>
    <phoneticPr fontId="36" type="noConversion"/>
  </si>
  <si>
    <t>9781799896463</t>
  </si>
  <si>
    <t>9781799896449</t>
  </si>
  <si>
    <t>Applying Data Science and Learning Analytics Throughout a Learner's Lifespan</t>
  </si>
  <si>
    <t>http://services.igi-global.com/resolvedoi/resolve.aspx?doi=10.4018/978-1-7998-9644-9</t>
    <phoneticPr fontId="36" type="noConversion"/>
  </si>
  <si>
    <t>9781799895121</t>
  </si>
  <si>
    <t>9781799895107</t>
  </si>
  <si>
    <t>Entrepreneurship Education in Tourism and Hospitality Management</t>
  </si>
  <si>
    <t>Bagri, Satish Chandra</t>
  </si>
  <si>
    <t>http://services.igi-global.com/resolvedoi/resolve.aspx?doi=10.4018/978-1-7998-9510-7</t>
    <phoneticPr fontId="36" type="noConversion"/>
  </si>
  <si>
    <t>9781668441961</t>
  </si>
  <si>
    <t>9781668441947</t>
  </si>
  <si>
    <t>Promoting Social and Cultural Equity in the Tourism Sector</t>
  </si>
  <si>
    <t>Cembranel, Priscila</t>
  </si>
  <si>
    <t>http://services.igi-global.com/resolvedoi/resolve.aspx?doi=10.4018/978-1-6684-4194-7</t>
    <phoneticPr fontId="36" type="noConversion"/>
  </si>
  <si>
    <t>9781668446683</t>
  </si>
  <si>
    <t>9781668446669</t>
  </si>
  <si>
    <t>International Perspectives on Value Creation and Sustainability Through Social Entrepreneurship</t>
  </si>
  <si>
    <t>Magd, Hesham</t>
  </si>
  <si>
    <t>http://services.igi-global.com/resolvedoi/resolve.aspx?doi=10.4018/978-1-6684-4666-9</t>
    <phoneticPr fontId="36" type="noConversion"/>
  </si>
  <si>
    <t>9781668444634</t>
  </si>
  <si>
    <t>9781668444610</t>
  </si>
  <si>
    <t>The Digital Folklore of Cyberculture and Digital Humanities</t>
  </si>
  <si>
    <t>Papadakis, Stamatis</t>
  </si>
  <si>
    <t>http://services.igi-global.com/resolvedoi/resolve.aspx?doi=10.4018/978-1-6684-4461-0</t>
    <phoneticPr fontId="36" type="noConversion"/>
  </si>
  <si>
    <t>9781799880233</t>
  </si>
  <si>
    <t>9781799880219</t>
  </si>
  <si>
    <t>Opportunities and Challenges for Multinational Enterprises and Foreign Direct Investment in the Belt and Road Initiative</t>
  </si>
  <si>
    <t>Bhuiyan, Miraj Ahmed</t>
  </si>
  <si>
    <t>http://services.igi-global.com/resolvedoi/resolve.aspx?doi=10.4018/978-1-7998-8021-9</t>
    <phoneticPr fontId="36" type="noConversion"/>
  </si>
  <si>
    <t>9781668453384</t>
  </si>
  <si>
    <t>9781668453377</t>
  </si>
  <si>
    <t>Handbook of Research on the Relationship Between Autobiographical Memory and Photography</t>
  </si>
  <si>
    <t>Ingham, Mark Bruce Nigel</t>
  </si>
  <si>
    <t>http://services.igi-global.com/resolvedoi/resolve.aspx?doi=10.4018/978-1-6684-5337-7</t>
    <phoneticPr fontId="36" type="noConversion"/>
  </si>
  <si>
    <t>9781668460214</t>
  </si>
  <si>
    <t>9781668460207</t>
  </si>
  <si>
    <t>New Approaches to the Investigation of Language Teaching and Literature</t>
  </si>
  <si>
    <t>Garcés-Manzanera, Aitor</t>
  </si>
  <si>
    <t>http://services.igi-global.com/resolvedoi/resolve.aspx?doi=10.4018/978-1-6684-6020-7</t>
    <phoneticPr fontId="36" type="noConversion"/>
  </si>
  <si>
    <t>9781668460993</t>
  </si>
  <si>
    <t>9781668460979</t>
  </si>
  <si>
    <t>Metaverse Applications for New Business Models and Disruptive Innovation</t>
  </si>
  <si>
    <t>http://services.igi-global.com/resolvedoi/resolve.aspx?doi=10.4018/978-1-6684-6097-9</t>
    <phoneticPr fontId="36" type="noConversion"/>
  </si>
  <si>
    <t>9781668463536</t>
  </si>
  <si>
    <t>9781668463512</t>
  </si>
  <si>
    <t>Examining the Aging Workforce and Its Impact on Economic and Social Development</t>
  </si>
  <si>
    <t>Lopes, Bruno de Sousa</t>
  </si>
  <si>
    <t>http://services.igi-global.com/resolvedoi/resolve.aspx?doi=10.4018/978-1-6684-6351-2</t>
    <phoneticPr fontId="36" type="noConversion"/>
  </si>
  <si>
    <t>9781668463833</t>
  </si>
  <si>
    <t>9781668463819</t>
  </si>
  <si>
    <t>Exploring the Dark Side of FinTech and Implications of Monetary Policy</t>
  </si>
  <si>
    <t>Ahmed, Sheraz</t>
  </si>
  <si>
    <t>http://services.igi-global.com/resolvedoi/resolve.aspx?doi=10.4018/978-1-6684-6381-9</t>
    <phoneticPr fontId="36" type="noConversion"/>
  </si>
  <si>
    <t>9781668456613</t>
  </si>
  <si>
    <t>9781668456606</t>
  </si>
  <si>
    <t>Handbook of Research on Perspectives in Foreign Language Assessment</t>
  </si>
  <si>
    <t>Köksal, Dinçay</t>
  </si>
  <si>
    <t>http://services.igi-global.com/resolvedoi/resolve.aspx?doi=10.4018/978-1-6684-5660-6</t>
    <phoneticPr fontId="36" type="noConversion"/>
  </si>
  <si>
    <t>9781668463222</t>
  </si>
  <si>
    <t>9781668463208</t>
  </si>
  <si>
    <t>Exergaming Intervention for Children, Adolescents, and Elderly People</t>
  </si>
  <si>
    <t>http://services.igi-global.com/resolvedoi/resolve.aspx?doi=10.4018/978-1-6684-6320-8</t>
    <phoneticPr fontId="36" type="noConversion"/>
  </si>
  <si>
    <t>9781668463482</t>
  </si>
  <si>
    <t>9781668463468</t>
  </si>
  <si>
    <t>Rapid Innovation and Development in the Global Cannabis Market</t>
  </si>
  <si>
    <t>Mashau, Pfano</t>
  </si>
  <si>
    <t>http://services.igi-global.com/resolvedoi/resolve.aspx?doi=10.4018/978-1-6684-6346-8</t>
    <phoneticPr fontId="36" type="noConversion"/>
  </si>
  <si>
    <t>9781668464052</t>
  </si>
  <si>
    <t>9781668464038</t>
  </si>
  <si>
    <t>Opportunities and Challenges of Business 5.0 in Emerging Markets</t>
  </si>
  <si>
    <t>Dadwal, Sumesh</t>
  </si>
  <si>
    <t>http://services.igi-global.com/resolvedoi/resolve.aspx?doi=10.4018/978-1-6684-6403-8</t>
    <phoneticPr fontId="36" type="noConversion"/>
  </si>
  <si>
    <t>9781668458556</t>
  </si>
  <si>
    <t>9781668458532</t>
  </si>
  <si>
    <t>Handbook of Research on the Interplay Between Service Quality and Customer Delight</t>
  </si>
  <si>
    <t>http://services.igi-global.com/resolvedoi/resolve.aspx?doi=10.4018/978-1-6684-5853-2</t>
    <phoneticPr fontId="36" type="noConversion"/>
  </si>
  <si>
    <t>9781668459300</t>
  </si>
  <si>
    <t>9781668459294</t>
  </si>
  <si>
    <t>Global Perspectives on the Internationalization of Higher Education</t>
  </si>
  <si>
    <t>Branch, John D.</t>
  </si>
  <si>
    <t>http://services.igi-global.com/resolvedoi/resolve.aspx?doi=10.4018/978-1-6684-5929-4</t>
    <phoneticPr fontId="36" type="noConversion"/>
  </si>
  <si>
    <t>9781668463772</t>
  </si>
  <si>
    <t>9781668463765</t>
  </si>
  <si>
    <t>Contemporary Manifests on Design Thinking and Practice</t>
  </si>
  <si>
    <t>Zengin, Gözde</t>
  </si>
  <si>
    <t>http://services.igi-global.com/resolvedoi/resolve.aspx?doi=10.4018/978-1-6684-6376-5</t>
    <phoneticPr fontId="36" type="noConversion"/>
  </si>
  <si>
    <t>9781668465837</t>
  </si>
  <si>
    <t>9781668465813</t>
  </si>
  <si>
    <t>Fraud Prevention, Confidentiality, and Data Security for Modern Businesses</t>
  </si>
  <si>
    <t>Naim, Arshi</t>
  </si>
  <si>
    <t>http://services.igi-global.com/resolvedoi/resolve.aspx?doi=10.4018/978-1-6684-6581-3</t>
    <phoneticPr fontId="36" type="noConversion"/>
  </si>
  <si>
    <t>9781668463581</t>
  </si>
  <si>
    <t>9781668463567</t>
  </si>
  <si>
    <t>Managing Festivals for Destination Marketing and Branding</t>
  </si>
  <si>
    <t>Kulshreshtha, Sharad Kumar</t>
  </si>
  <si>
    <t>http://services.igi-global.com/resolvedoi/resolve.aspx?doi=10.4018/978-1-6684-6356-7</t>
    <phoneticPr fontId="36" type="noConversion"/>
  </si>
  <si>
    <t>9781668465455</t>
  </si>
  <si>
    <t>9781668465431</t>
  </si>
  <si>
    <t>Handbook of Research on Dissecting and Dismantling Occupational Stress in Modern Organizations</t>
  </si>
  <si>
    <t>Haque, Adnan ul</t>
  </si>
  <si>
    <t>http://services.igi-global.com/resolvedoi/resolve.aspx?doi=10.4018/978-1-6684-6543-1</t>
    <phoneticPr fontId="36" type="noConversion"/>
  </si>
  <si>
    <t>9781668466216</t>
  </si>
  <si>
    <t>9781668466209</t>
  </si>
  <si>
    <t>Economic and Social Implications of Information and Communication Technologies</t>
  </si>
  <si>
    <t>Bayar, Yilmaz</t>
  </si>
  <si>
    <t>http://services.igi-global.com/resolvedoi/resolve.aspx?doi=10.4018/978-1-6684-6620-9</t>
    <phoneticPr fontId="36" type="noConversion"/>
  </si>
  <si>
    <t>9781668467473</t>
  </si>
  <si>
    <t>9781668467459</t>
  </si>
  <si>
    <t>Managing Technology Integration for Human Resources in Industry 5.0</t>
  </si>
  <si>
    <t>http://services.igi-global.com/resolvedoi/resolve.aspx?doi=10.4018/978-1-6684-6745-9</t>
    <phoneticPr fontId="36" type="noConversion"/>
  </si>
  <si>
    <t>9781668460368</t>
  </si>
  <si>
    <t>9781668460351</t>
  </si>
  <si>
    <t>Multifaceted Analysis of Sustainable Strategies and Tactics in Education</t>
  </si>
  <si>
    <t>Neimann, Theresa Dell</t>
  </si>
  <si>
    <t>http://services.igi-global.com/resolvedoi/resolve.aspx?doi=10.4018/978-1-6684-6035-1</t>
    <phoneticPr fontId="36" type="noConversion"/>
  </si>
  <si>
    <t>9781668461105</t>
  </si>
  <si>
    <t>9781668461082</t>
  </si>
  <si>
    <t>Digital Psychology's Impact on Business and Society</t>
  </si>
  <si>
    <t>http://services.igi-global.com/resolvedoi/resolve.aspx?doi=10.4018/978-1-6684-6108-2</t>
    <phoneticPr fontId="36" type="noConversion"/>
  </si>
  <si>
    <t>9781668461150</t>
  </si>
  <si>
    <t>9781668461136</t>
  </si>
  <si>
    <t>Implications of Industry 5.0 on Environmental Sustainability</t>
  </si>
  <si>
    <t>Sajid, Muhammad Jawad</t>
  </si>
  <si>
    <t>http://services.igi-global.com/resolvedoi/resolve.aspx?doi=10.4018/978-1-6684-6113-6</t>
    <phoneticPr fontId="36" type="noConversion"/>
  </si>
  <si>
    <t>9781668461808</t>
  </si>
  <si>
    <t>9781668461792</t>
  </si>
  <si>
    <t>Handbook of Research on Training Teachers for Bilingual Education in Primary Schools</t>
  </si>
  <si>
    <t>Chichón, José Luis Estrada</t>
  </si>
  <si>
    <t>http://services.igi-global.com/resolvedoi/resolve.aspx?doi=10.4018/978-1-6684-6179-2</t>
    <phoneticPr fontId="36" type="noConversion"/>
  </si>
  <si>
    <t>9781668462607</t>
  </si>
  <si>
    <t>9781668462584</t>
  </si>
  <si>
    <t>Handbook of Research on Managing the Urban-Rural Divide Through an Inclusive Framework</t>
  </si>
  <si>
    <t>Popoola, Ayobami Abayomi</t>
  </si>
  <si>
    <t>http://services.igi-global.com/resolvedoi/resolve.aspx?doi=10.4018/978-1-6684-6258-4</t>
    <phoneticPr fontId="36" type="noConversion"/>
  </si>
  <si>
    <t>9781668466650</t>
  </si>
  <si>
    <t>9781668466636</t>
  </si>
  <si>
    <t>Emerging Trends in Sustainable Supply Chain Management and Green Logistics</t>
  </si>
  <si>
    <t>Waqas, Muhammad</t>
  </si>
  <si>
    <t>http://services.igi-global.com/resolvedoi/resolve.aspx?doi=10.4018/978-1-6684-6663-6</t>
    <phoneticPr fontId="36" type="noConversion"/>
  </si>
  <si>
    <t>9781668466834</t>
  </si>
  <si>
    <t>9781668466827</t>
  </si>
  <si>
    <t>Handbook of Research on Learning in Language Classrooms Through ICT-Based Digital Technology</t>
  </si>
  <si>
    <t>Suman, Rajest S.</t>
  </si>
  <si>
    <t>http://services.igi-global.com/resolvedoi/resolve.aspx?doi=10.4018/978-1-6684-6682-7</t>
    <phoneticPr fontId="36" type="noConversion"/>
  </si>
  <si>
    <t>9781668467152</t>
  </si>
  <si>
    <t>9781668467138</t>
  </si>
  <si>
    <t>Leadership Approaches in Global Hospitality and Tourism</t>
  </si>
  <si>
    <t>Baytok, Ahmet</t>
  </si>
  <si>
    <t>http://services.igi-global.com/resolvedoi/resolve.aspx?doi=10.4018/978-1-6684-6713-8</t>
    <phoneticPr fontId="36" type="noConversion"/>
  </si>
  <si>
    <t>9781668467688</t>
  </si>
  <si>
    <t>9781668467664</t>
  </si>
  <si>
    <t>Exploring Business Ecosystems and Innovation Capacity Building in Global Economics</t>
  </si>
  <si>
    <t>Joshi, Mihir</t>
  </si>
  <si>
    <t>http://services.igi-global.com/resolvedoi/resolve.aspx?doi=10.4018/978-1-6684-6766-4</t>
    <phoneticPr fontId="36" type="noConversion"/>
  </si>
  <si>
    <t>9781668461198</t>
  </si>
  <si>
    <t>9781668461181</t>
  </si>
  <si>
    <t>ICT as a Driver of Women's Social and Economic Empowerment</t>
  </si>
  <si>
    <t>Dhaundiyal, Pankaj</t>
  </si>
  <si>
    <t>http://services.igi-global.com/resolvedoi/resolve.aspx?doi=10.4018/978-1-6684-6118-1</t>
    <phoneticPr fontId="36" type="noConversion"/>
  </si>
  <si>
    <t>9781668466940</t>
  </si>
  <si>
    <t>9781668466926</t>
  </si>
  <si>
    <t>Global Perspectives on the Opportunities and Future Directions of Health Tourism</t>
  </si>
  <si>
    <t>Doğan, Oğuz</t>
  </si>
  <si>
    <t>http://services.igi-global.com/resolvedoi/resolve.aspx?doi=10.4018/978-1-6684-6692-6</t>
    <phoneticPr fontId="36" type="noConversion"/>
  </si>
  <si>
    <t>9781668468609</t>
  </si>
  <si>
    <t>9781668468593</t>
  </si>
  <si>
    <t>Social Research Methodology and Publishing Results: A Guide to Non-Native English Speakers</t>
  </si>
  <si>
    <t>Saliya, Candauda Arachchige</t>
  </si>
  <si>
    <t>http://services.igi-global.com/resolvedoi/resolve.aspx?doi=10.4018/978-1-6684-6859-3</t>
    <phoneticPr fontId="36" type="noConversion"/>
  </si>
  <si>
    <t>9781668435663</t>
  </si>
  <si>
    <t>9781668435649</t>
  </si>
  <si>
    <t>The Experiences of Black Women Diversity Practitioners in Historically White Institutions</t>
  </si>
  <si>
    <t>Johnson, Tristen Brenaé</t>
  </si>
  <si>
    <t>http://services.igi-global.com/resolvedoi/resolve.aspx?doi=10.4018/978-1-6684-3564-9</t>
    <phoneticPr fontId="36" type="noConversion"/>
  </si>
  <si>
    <t>9781668464564</t>
  </si>
  <si>
    <t>9781668464540</t>
  </si>
  <si>
    <t>Big Data Marketing Strategies for Superior Customer Experience</t>
  </si>
  <si>
    <t>http://services.igi-global.com/resolvedoi/resolve.aspx?doi=10.4018/978-1-6684-6454-0</t>
    <phoneticPr fontId="36" type="noConversion"/>
  </si>
  <si>
    <t>9781668465011</t>
  </si>
  <si>
    <t>9781668465004</t>
  </si>
  <si>
    <t>Supporting Self-Regulated Learning and Student Success in Online Courses</t>
  </si>
  <si>
    <t>http://services.igi-global.com/resolvedoi/resolve.aspx?doi=10.4018/978-1-6684-6500-4</t>
    <phoneticPr fontId="36" type="noConversion"/>
  </si>
  <si>
    <t>9781668468173</t>
  </si>
  <si>
    <t>9781668468159</t>
  </si>
  <si>
    <t>Intellectual Capital as a Precursor to Sustainable Corporate Social Responsibility</t>
  </si>
  <si>
    <t>Marco-Lajara, Bartolomé</t>
  </si>
  <si>
    <t>http://services.igi-global.com/resolvedoi/resolve.aspx?doi=10.4018/978-1-6684-6815-9</t>
    <phoneticPr fontId="36" type="noConversion"/>
  </si>
  <si>
    <t>9781668468470</t>
  </si>
  <si>
    <t>9781668468456</t>
  </si>
  <si>
    <t>Strategic Management and International Business Policies for Maintaining Competitive Advantage</t>
  </si>
  <si>
    <t>De Moraes, Ailson J.</t>
  </si>
  <si>
    <t>http://services.igi-global.com/resolvedoi/resolve.aspx?doi=10.4018/978-1-6684-6845-6</t>
    <phoneticPr fontId="36" type="noConversion"/>
  </si>
  <si>
    <t>9781668465936</t>
  </si>
  <si>
    <t>9781668465912</t>
  </si>
  <si>
    <t>Global Perspectives on the Strategic Role of Marketing Information Systems</t>
  </si>
  <si>
    <t>Medina, Jose Melchor</t>
  </si>
  <si>
    <t>http://services.igi-global.com/resolvedoi/resolve.aspx?doi=10.4018/978-1-6684-6591-2</t>
    <phoneticPr fontId="36" type="noConversion"/>
  </si>
  <si>
    <t>9781668476710</t>
  </si>
  <si>
    <t>9781668476697</t>
  </si>
  <si>
    <t>Female Entrepreneurship as a Driving Force of Economic Growth and Social Change</t>
  </si>
  <si>
    <t>Daniel, Ana Dias</t>
  </si>
  <si>
    <t>http://services.igi-global.com/resolvedoi/resolve.aspx?doi=10.4018/978-1-6684-7669-7</t>
    <phoneticPr fontId="36" type="noConversion"/>
  </si>
  <si>
    <t>9781668463406</t>
  </si>
  <si>
    <t>9781668463390</t>
  </si>
  <si>
    <t>Innovative Digital Practices and Globalization in Higher Education</t>
  </si>
  <si>
    <t>http://services.igi-global.com/resolvedoi/resolve.aspx?doi=10.4018/978-1-6684-6339-0</t>
    <phoneticPr fontId="36" type="noConversion"/>
  </si>
  <si>
    <t>9781668466094</t>
  </si>
  <si>
    <t>9781668466070</t>
  </si>
  <si>
    <t>Measuring Consumer Behavior in Hospitality for Enhanced Decision Making</t>
  </si>
  <si>
    <t>Ramos, Célia M. Q.</t>
  </si>
  <si>
    <t>http://services.igi-global.com/resolvedoi/resolve.aspx?doi=10.4018/978-1-6684-6607-0</t>
    <phoneticPr fontId="36" type="noConversion"/>
  </si>
  <si>
    <t>9781668470015</t>
  </si>
  <si>
    <t>9781668470008</t>
  </si>
  <si>
    <t>Innovative Smart Materials Used in Wireless Communication Technology</t>
  </si>
  <si>
    <t>Krishan, Ram</t>
  </si>
  <si>
    <t>http://services.igi-global.com/resolvedoi/resolve.aspx?doi=10.4018/978-1-6684-7000-8</t>
    <phoneticPr fontId="36" type="noConversion"/>
  </si>
  <si>
    <t>9781668473962</t>
  </si>
  <si>
    <t>9781668473948</t>
  </si>
  <si>
    <t>Perspectives and Strategies of Family Business Resiliency in Unprecedented Times</t>
  </si>
  <si>
    <t>Siringoringo, Hotniar</t>
  </si>
  <si>
    <t>http://services.igi-global.com/resolvedoi/resolve.aspx?doi=10.4018/978-1-6684-7394-8</t>
    <phoneticPr fontId="36" type="noConversion"/>
  </si>
  <si>
    <t>9781668451823</t>
  </si>
  <si>
    <t>9781668451816</t>
  </si>
  <si>
    <t>Bankruptcy and Reorganization in the Digital Business Era</t>
  </si>
  <si>
    <t>http://services.igi-global.com/resolvedoi/resolve.aspx?doi=10.4018/978-1-6684-5181-6</t>
    <phoneticPr fontId="36" type="noConversion"/>
  </si>
  <si>
    <r>
      <t xml:space="preserve">H12 </t>
    </r>
    <r>
      <rPr>
        <sz val="10"/>
        <rFont val="新細明體"/>
        <family val="1"/>
        <charset val="136"/>
      </rPr>
      <t>心理學</t>
    </r>
  </si>
  <si>
    <t>9781668472231</t>
  </si>
  <si>
    <t>9781668472217</t>
  </si>
  <si>
    <t>Community Mental Health and Well-Being in the New Normal</t>
  </si>
  <si>
    <t>Lathabhavan, Remya</t>
  </si>
  <si>
    <t>http://services.igi-global.com/resolvedoi/resolve.aspx?doi=10.4018/978-1-6684-7221-7</t>
    <phoneticPr fontId="36" type="noConversion"/>
  </si>
  <si>
    <t>9781668442487</t>
  </si>
  <si>
    <t>9781668442463</t>
  </si>
  <si>
    <t>AI-Driven Intelligent Models for Business Excellence</t>
  </si>
  <si>
    <t>Nagaraj, Samala</t>
  </si>
  <si>
    <t>http://services.igi-global.com/resolvedoi/resolve.aspx?doi=10.4018/978-1-6684-4246-3</t>
    <phoneticPr fontId="36" type="noConversion"/>
  </si>
  <si>
    <t>9781668458785</t>
  </si>
  <si>
    <t>9781668458761</t>
  </si>
  <si>
    <t>Managing Inflation and Supply Chain Disruptions in the Global Economy</t>
  </si>
  <si>
    <t>http://services.igi-global.com/resolvedoi/resolve.aspx?doi=10.4018/978-1-6684-5876-1</t>
    <phoneticPr fontId="36" type="noConversion"/>
  </si>
  <si>
    <t>9781668454275</t>
  </si>
  <si>
    <t>9781668454268</t>
  </si>
  <si>
    <t>Handbook of Research on Bullying in Media and Beyond</t>
  </si>
  <si>
    <t>http://services.igi-global.com/resolvedoi/resolve.aspx?doi=10.4018/978-1-6684-5426-8</t>
    <phoneticPr fontId="36" type="noConversion"/>
  </si>
  <si>
    <t>9781668474693</t>
  </si>
  <si>
    <t>9781668474686</t>
  </si>
  <si>
    <t>Research Anthology on Early Childhood Development and School Transition in the Digital Era</t>
  </si>
  <si>
    <t>http://services.igi-global.com/resolvedoi/resolve.aspx?doi=10.4018/978-1-6684-7468-6</t>
    <phoneticPr fontId="36" type="noConversion"/>
  </si>
  <si>
    <t>9781668474730</t>
  </si>
  <si>
    <t>9781668474723</t>
  </si>
  <si>
    <t>Research Anthology on Social Media's Influence on Government, Politics, and Social Movements</t>
  </si>
  <si>
    <t>http://services.igi-global.com/resolvedoi/resolve.aspx?doi=10.4018/978-1-6684-7472-3</t>
    <phoneticPr fontId="36" type="noConversion"/>
  </si>
  <si>
    <t>9781668450840</t>
  </si>
  <si>
    <t>9781668450833</t>
  </si>
  <si>
    <t>Handbook of Research on Fostering Social Justice Through Intercultural and Multilingual Communication</t>
  </si>
  <si>
    <t>Meletiadou, Eleni</t>
  </si>
  <si>
    <t>http://services.igi-global.com/resolvedoi/resolve.aspx?doi=10.4018/978-1-6684-5083-3</t>
    <phoneticPr fontId="36" type="noConversion"/>
  </si>
  <si>
    <t>9781668453131</t>
  </si>
  <si>
    <t>9781668453117</t>
  </si>
  <si>
    <t>Global Perspectives on the Psychology of Terrorism</t>
  </si>
  <si>
    <t>Chitadze, Nika</t>
  </si>
  <si>
    <t>http://services.igi-global.com/resolvedoi/resolve.aspx?doi=10.4018/978-1-6684-5311-7</t>
    <phoneticPr fontId="36" type="noConversion"/>
  </si>
  <si>
    <t>9781668455708</t>
  </si>
  <si>
    <t>9781668455685</t>
  </si>
  <si>
    <t>Global LGBTQ+ Concerns in a Contemporary World: Politics, Prejudice, and Community</t>
  </si>
  <si>
    <t>Rajput, Namita</t>
  </si>
  <si>
    <t>http://services.igi-global.com/resolvedoi/resolve.aspx?doi=10.4018/978-1-6684-5568-5</t>
    <phoneticPr fontId="36" type="noConversion"/>
  </si>
  <si>
    <t>9781668450598</t>
  </si>
  <si>
    <t>9781668450581</t>
  </si>
  <si>
    <t>Computer-Assisted Learning for Engaging Varying Aptitudes: From Theory to Practice</t>
  </si>
  <si>
    <t>Dhaya, R.</t>
  </si>
  <si>
    <t>http://services.igi-global.com/resolvedoi/resolve.aspx?doi=10.4018/978-1-6684-5058-1</t>
    <phoneticPr fontId="36" type="noConversion"/>
  </si>
  <si>
    <t>9781668455258</t>
  </si>
  <si>
    <t>9781668455234</t>
  </si>
  <si>
    <t>Promoting Organizational Performance Through 5G and Agile Marketing</t>
  </si>
  <si>
    <t>http://services.igi-global.com/resolvedoi/resolve.aspx?doi=10.4018/978-1-6684-5523-4</t>
    <phoneticPr fontId="36" type="noConversion"/>
  </si>
  <si>
    <t>9781668425176</t>
  </si>
  <si>
    <t>9781668425152</t>
  </si>
  <si>
    <t>Cases on Establishing Effective Collaborations in Academic Libraries</t>
  </si>
  <si>
    <t>Piorun, Mary E.</t>
  </si>
  <si>
    <t>http://services.igi-global.com/resolvedoi/resolve.aspx?doi=10.4018/978-1-6684-2515-2</t>
    <phoneticPr fontId="36" type="noConversion"/>
  </si>
  <si>
    <t>9781668446461</t>
  </si>
  <si>
    <t>9781668446454</t>
  </si>
  <si>
    <t>Handbook of Research on Sustainable Tourism and Hotel Operations in Global Hypercompetition</t>
  </si>
  <si>
    <t>Sezerel, Hakan</t>
  </si>
  <si>
    <t>http://services.igi-global.com/resolvedoi/resolve.aspx?doi=10.4018/978-1-6684-4645-4</t>
    <phoneticPr fontId="36" type="noConversion"/>
  </si>
  <si>
    <t>9781668447826</t>
  </si>
  <si>
    <t>9781668447802</t>
  </si>
  <si>
    <t>Global Agricultural and Food Marketing in a Global Context: Advancing Policy, Management, and Innovation</t>
  </si>
  <si>
    <t>Maiwashe-Tagwi, Aluwani</t>
  </si>
  <si>
    <t>http://services.igi-global.com/resolvedoi/resolve.aspx?doi=10.4018/978-1-6684-4780-2</t>
    <phoneticPr fontId="36" type="noConversion"/>
  </si>
  <si>
    <t>9781668439722</t>
  </si>
  <si>
    <t>9781668439715</t>
  </si>
  <si>
    <t>Handbook of Research on the Future of Advertising and Brands in the New Entertainment Landscape</t>
  </si>
  <si>
    <t>Miguélez-Juan, Blanca</t>
  </si>
  <si>
    <t>http://services.igi-global.com/resolvedoi/resolve.aspx?doi=10.4018/978-1-6684-3971-5</t>
    <phoneticPr fontId="36" type="noConversion"/>
  </si>
  <si>
    <t>9781668450406</t>
  </si>
  <si>
    <t>9781668450390</t>
  </si>
  <si>
    <t>Using Self-Efficacy for Improving Retention and Success of Diverse Student Populations</t>
  </si>
  <si>
    <t>Herron, Jeffrey</t>
  </si>
  <si>
    <t>http://services.igi-global.com/resolvedoi/resolve.aspx?doi=10.4018/978-1-6684-5039-0</t>
    <phoneticPr fontId="36" type="noConversion"/>
  </si>
  <si>
    <t>9781668450987</t>
  </si>
  <si>
    <t>9781668450970</t>
  </si>
  <si>
    <t>The Role of Child Life Specialists in Community Settings</t>
  </si>
  <si>
    <t>Lowry, Genevieve</t>
  </si>
  <si>
    <t>http://services.igi-global.com/resolvedoi/resolve.aspx?doi=10.4018/978-1-6684-5097-0</t>
    <phoneticPr fontId="36" type="noConversion"/>
  </si>
  <si>
    <t>9781668458143</t>
  </si>
  <si>
    <t>9781668458129</t>
  </si>
  <si>
    <t>Cases on Servant Leadership and Equity</t>
  </si>
  <si>
    <t>Thomas, Ursula</t>
  </si>
  <si>
    <t>http://services.igi-global.com/resolvedoi/resolve.aspx?doi=10.4018/978-1-6684-5812-9</t>
    <phoneticPr fontId="36" type="noConversion"/>
  </si>
  <si>
    <t>9781668475942</t>
  </si>
  <si>
    <t>9781668475935</t>
  </si>
  <si>
    <t>Research Anthology on Approaches to Social and Sustainable Entrepreneurship</t>
  </si>
  <si>
    <t>http://services.igi-global.com/resolvedoi/resolve.aspx?doi=10.4018/978-1-6684-7593-5</t>
    <phoneticPr fontId="36" type="noConversion"/>
  </si>
  <si>
    <t>9781668448366</t>
  </si>
  <si>
    <t>9781668448342</t>
  </si>
  <si>
    <t>Examining the Vital Financial Role of SMEs in Achieving the Sustainable Development Goals</t>
  </si>
  <si>
    <t>Taleb, Dalila</t>
  </si>
  <si>
    <t>http://services.igi-global.com/resolvedoi/resolve.aspx?doi=10.4018/978-1-6684-4834-2</t>
    <phoneticPr fontId="36" type="noConversion"/>
  </si>
  <si>
    <t>9781668450543</t>
  </si>
  <si>
    <t>9781668450536</t>
  </si>
  <si>
    <t>Advancing STEM Education and Innovation in a Time of Distance Learning</t>
  </si>
  <si>
    <t>González-Lezcano, Roberto Alonso</t>
  </si>
  <si>
    <t>http://services.igi-global.com/resolvedoi/resolve.aspx?doi=10.4018/978-1-6684-5053-6</t>
    <phoneticPr fontId="36" type="noConversion"/>
  </si>
  <si>
    <t>9781668452868</t>
  </si>
  <si>
    <t>9781668452844</t>
  </si>
  <si>
    <t>Handbook of Research on Cybersecurity Issues and Challenges for Business and FinTech Applications</t>
  </si>
  <si>
    <t>http://services.igi-global.com/resolvedoi/resolve.aspx?doi=10.4018/978-1-6684-5284-4</t>
    <phoneticPr fontId="36" type="noConversion"/>
  </si>
  <si>
    <t>9781668453445</t>
  </si>
  <si>
    <t>9781668453421</t>
  </si>
  <si>
    <t>Future Outlooks on Corporate Finance and Opportunities for Robust Economic Planning</t>
  </si>
  <si>
    <t>Kunjumuhammed, Siraj Kariyilaparambu</t>
  </si>
  <si>
    <t>http://services.igi-global.com/resolvedoi/resolve.aspx?doi=10.4018/978-1-6684-5342-1</t>
    <phoneticPr fontId="36" type="noConversion"/>
  </si>
  <si>
    <t>9781668452189</t>
  </si>
  <si>
    <t>9781668452165</t>
  </si>
  <si>
    <t>Handbook of Research on Promoting an Inclusive Organizational Culture for Entrepreneurial Sustainability</t>
  </si>
  <si>
    <t>Perez-Uribe, Rafael Ignacio</t>
  </si>
  <si>
    <t>http://services.igi-global.com/resolvedoi/resolve.aspx?doi=10.4018/978-1-6684-5216-5</t>
    <phoneticPr fontId="36" type="noConversion"/>
  </si>
  <si>
    <t>9781668458464</t>
  </si>
  <si>
    <t>9781668458440</t>
  </si>
  <si>
    <t>Marketing and Advertising in the Online-to-Offline (O2O) World</t>
  </si>
  <si>
    <t>Dinana, Hesham Osama</t>
  </si>
  <si>
    <t>http://services.igi-global.com/resolvedoi/resolve.aspx?doi=10.4018/978-1-6684-5844-0</t>
    <phoneticPr fontId="36" type="noConversion"/>
  </si>
  <si>
    <t>9781668458662</t>
  </si>
  <si>
    <t>9781668458648</t>
  </si>
  <si>
    <t>Leadership and Workplace Culture in the Digital Era</t>
  </si>
  <si>
    <t>http://services.igi-global.com/resolvedoi/resolve.aspx?doi=10.4018/978-1-6684-5864-8</t>
    <phoneticPr fontId="36" type="noConversion"/>
  </si>
  <si>
    <t>9781668459652</t>
  </si>
  <si>
    <t>9781668459645</t>
  </si>
  <si>
    <t>Global Perspectives on Sustainable Library Practices</t>
  </si>
  <si>
    <t>Okojie, Victoria</t>
  </si>
  <si>
    <t>http://services.igi-global.com/resolvedoi/resolve.aspx?doi=10.4018/978-1-6684-5964-5</t>
    <phoneticPr fontId="36" type="noConversion"/>
  </si>
  <si>
    <t>9781668458242</t>
  </si>
  <si>
    <t>9781668458228</t>
  </si>
  <si>
    <t>Maintaining International Relations Through Digital Public Diplomacy Policies and Discourses</t>
  </si>
  <si>
    <t>Elitaş, Türker</t>
  </si>
  <si>
    <t>http://services.igi-global.com/resolvedoi/resolve.aspx?doi=10.4018/978-1-6684-5822-8</t>
    <phoneticPr fontId="36" type="noConversion"/>
  </si>
  <si>
    <t>9781668484098</t>
  </si>
  <si>
    <t>9781668484074</t>
  </si>
  <si>
    <t>Handbook of Research on Advancing Teaching and Teacher Education in the Context of a Virtual Age</t>
  </si>
  <si>
    <t>http://services.igi-global.com/resolvedoi/resolve.aspx?doi=10.4018/978-1-6684-8407-4</t>
    <phoneticPr fontId="36" type="noConversion"/>
  </si>
  <si>
    <t>9781668459089</t>
  </si>
  <si>
    <t>9781668459072</t>
  </si>
  <si>
    <t>Dynamics of Dialogue, Cultural Development, and Peace in the Metaverse</t>
  </si>
  <si>
    <t>Chakraborty, Swati</t>
  </si>
  <si>
    <t>http://services.igi-global.com/resolvedoi/resolve.aspx?doi=10.4018/978-1-6684-5907-2</t>
    <phoneticPr fontId="36" type="noConversion"/>
  </si>
  <si>
    <t>9781799889670</t>
  </si>
  <si>
    <t>9781799889663</t>
  </si>
  <si>
    <t>Digital Identity in the New Era of Personalized Medicine</t>
  </si>
  <si>
    <t>Vasiliu-Feltes, Ingrid</t>
  </si>
  <si>
    <t>http://services.igi-global.com/resolvedoi/resolve.aspx?doi=10.4018/978-1-7998-8966-3</t>
    <phoneticPr fontId="36" type="noConversion"/>
  </si>
  <si>
    <t>9781668436172</t>
  </si>
  <si>
    <t>9781668436158</t>
  </si>
  <si>
    <t>Implications of Marginalization and Critical Race Theory on Social Justice</t>
  </si>
  <si>
    <t>Chandan, Harish C.</t>
  </si>
  <si>
    <t>http://services.igi-global.com/resolvedoi/resolve.aspx?doi=10.4018/978-1-6684-3615-8</t>
    <phoneticPr fontId="36" type="noConversion"/>
  </si>
  <si>
    <t>9781668458846</t>
  </si>
  <si>
    <t>9781668458822</t>
  </si>
  <si>
    <t>Handbook of Research on Promoting Logistics and Supply Chain Resilience Through Digital Transformation</t>
  </si>
  <si>
    <t>Masudin, Ilyas</t>
  </si>
  <si>
    <t>http://services.igi-global.com/resolvedoi/resolve.aspx?doi=10.4018/978-1-6684-5882-2</t>
    <phoneticPr fontId="36" type="noConversion"/>
  </si>
  <si>
    <t>9781668447376</t>
  </si>
  <si>
    <t>9781668447352</t>
  </si>
  <si>
    <t>Managing Pandemic Isolation With Literature as Therapy</t>
  </si>
  <si>
    <t>Ocaña, Antonio Cortijo</t>
  </si>
  <si>
    <t>http://services.igi-global.com/resolvedoi/resolve.aspx?doi=10.4018/978-1-6684-4735-2</t>
    <phoneticPr fontId="36" type="noConversion"/>
  </si>
  <si>
    <t>9781799868989</t>
  </si>
  <si>
    <t>9781799868965</t>
  </si>
  <si>
    <t>Changing World Economic Order in the Post-Pandemic Period</t>
  </si>
  <si>
    <t>Mahapatra, Sushanta Kumar</t>
  </si>
  <si>
    <t>http://services.igi-global.com/resolvedoi/resolve.aspx?doi=10.4018/978-1-7998-6896-5</t>
    <phoneticPr fontId="36" type="noConversion"/>
  </si>
  <si>
    <t>9781668441831</t>
  </si>
  <si>
    <t>9781668441817</t>
  </si>
  <si>
    <t>Developing Diversity, Equity, and Inclusion Policies for Promoting Employee Sustainability and Well-Being</t>
  </si>
  <si>
    <t>Gonçalves, Sónia P.</t>
  </si>
  <si>
    <t>http://services.igi-global.com/resolvedoi/resolve.aspx?doi=10.4018/978-1-6684-4181-7</t>
    <phoneticPr fontId="36" type="noConversion"/>
  </si>
  <si>
    <t>9781668454190</t>
  </si>
  <si>
    <t>9781668454176</t>
  </si>
  <si>
    <t>Frugal Innovation and Social Transitions in the Digital Era</t>
  </si>
  <si>
    <t>Tunio, Muhammad Nawaz</t>
  </si>
  <si>
    <t>http://services.igi-global.com/resolvedoi/resolve.aspx?doi=10.4018/978-1-6684-5417-6</t>
    <phoneticPr fontId="36" type="noConversion"/>
  </si>
  <si>
    <t>9781668458730</t>
  </si>
  <si>
    <t>9781668458716</t>
  </si>
  <si>
    <t>Futuristic Technology Perspectives on Entrepreneurship and Sustainable Innovation</t>
  </si>
  <si>
    <t>http://services.igi-global.com/resolvedoi/resolve.aspx?doi=10.4018/978-1-6684-5871-6</t>
    <phoneticPr fontId="36" type="noConversion"/>
  </si>
  <si>
    <t>9781668458990</t>
  </si>
  <si>
    <t>9781668458976</t>
  </si>
  <si>
    <t>Promoting Consumer Engagement Through Emotional Branding and Sensory Marketing</t>
  </si>
  <si>
    <t>Gupta, Monika</t>
  </si>
  <si>
    <t>http://services.igi-global.com/resolvedoi/resolve.aspx?doi=10.4018/978-1-6684-5897-6</t>
    <phoneticPr fontId="36" type="noConversion"/>
  </si>
  <si>
    <t>9781668460726</t>
  </si>
  <si>
    <t>9781668460719</t>
  </si>
  <si>
    <t>Developing Curriculum for Emergency Remote Learning Environments</t>
  </si>
  <si>
    <t>Silva, Susana</t>
  </si>
  <si>
    <t>http://services.igi-global.com/resolvedoi/resolve.aspx?doi=10.4018/978-1-6684-6071-9</t>
    <phoneticPr fontId="36" type="noConversion"/>
  </si>
  <si>
    <t>9781668461426</t>
  </si>
  <si>
    <t>9781668461402</t>
  </si>
  <si>
    <t>Leadership Perspectives on Effective Intergenerational Communication and Management</t>
  </si>
  <si>
    <t>Ince, Fatma</t>
  </si>
  <si>
    <t>http://services.igi-global.com/resolvedoi/resolve.aspx?doi=10.4018/978-1-6684-6140-2</t>
    <phoneticPr fontId="36" type="noConversion"/>
  </si>
  <si>
    <t>9781668448960</t>
  </si>
  <si>
    <t>9781668448953</t>
  </si>
  <si>
    <t>Handbook of Research on Business Model Innovation Through Disruption and Digitalization</t>
  </si>
  <si>
    <t>Rasmussen, Erik Stavnsager</t>
  </si>
  <si>
    <t>http://services.igi-global.com/resolvedoi/resolve.aspx?doi=10.4018/978-1-6684-4895-3</t>
    <phoneticPr fontId="36" type="noConversion"/>
  </si>
  <si>
    <t>9781799856870</t>
  </si>
  <si>
    <t>9781799856856</t>
  </si>
  <si>
    <t>Moving From R&amp;D Development to Production and Sales in Start-Up Companies</t>
  </si>
  <si>
    <t>http://services.igi-global.com/resolvedoi/resolve.aspx?doi=10.4018/978-1-7998-5685-6</t>
    <phoneticPr fontId="36" type="noConversion"/>
  </si>
  <si>
    <t>9781668459614</t>
  </si>
  <si>
    <t>9781668459591</t>
  </si>
  <si>
    <t>Handbook of Research on Driving Socioeconomic Development With Big Data</t>
  </si>
  <si>
    <t>http://services.igi-global.com/resolvedoi/resolve.aspx?doi=10.4018/978-1-6684-5959-1</t>
    <phoneticPr fontId="36" type="noConversion"/>
  </si>
  <si>
    <t>9781668462492</t>
  </si>
  <si>
    <t>9781668462478</t>
  </si>
  <si>
    <t>Blockchain Applications in Cryptocurrency for Technological Evolution</t>
  </si>
  <si>
    <t>http://services.igi-global.com/resolvedoi/resolve.aspx?doi=10.4018/978-1-6684-6247-8</t>
    <phoneticPr fontId="36" type="noConversion"/>
  </si>
  <si>
    <t>9781799844150</t>
  </si>
  <si>
    <t>9781799844143</t>
  </si>
  <si>
    <t>Epidemiological Research Applications for Public Health Measurement and Intervention</t>
  </si>
  <si>
    <t>http://services.igi-global.com/resolvedoi/resolve.aspx?doi=10.4018/978-1-7998-4414-3</t>
    <phoneticPr fontId="36" type="noConversion"/>
  </si>
  <si>
    <t>9781799874621</t>
  </si>
  <si>
    <t>9781799874607</t>
  </si>
  <si>
    <t>Artificial Intelligence for Accurate Analysis and Detection of Autism Spectrum Disorder</t>
  </si>
  <si>
    <t>Kautish, Sandeep</t>
  </si>
  <si>
    <t>http://services.igi-global.com/resolvedoi/resolve.aspx?doi=10.4018/978-1-7998-7460-7</t>
    <phoneticPr fontId="36" type="noConversion"/>
  </si>
  <si>
    <t>9781799887911</t>
  </si>
  <si>
    <t>9781799887904</t>
  </si>
  <si>
    <t>Cases on Virtual Reality Modeling in Healthcare</t>
  </si>
  <si>
    <t>Tang, Yuk Ming</t>
  </si>
  <si>
    <t>http://services.igi-global.com/resolvedoi/resolve.aspx?doi=10.4018/978-1-7998-8790-4</t>
    <phoneticPr fontId="36" type="noConversion"/>
  </si>
  <si>
    <t>9781799886914</t>
  </si>
  <si>
    <t>9781799886891</t>
  </si>
  <si>
    <t>Historical and Epidemiological Analyses on the Impact of Infectious Disease on Society</t>
  </si>
  <si>
    <t>Greenberg, Edward</t>
  </si>
  <si>
    <t>http://services.igi-global.com/resolvedoi/resolve.aspx?doi=10.4018/978-1-7998-8689-1</t>
    <phoneticPr fontId="36" type="noConversion"/>
  </si>
  <si>
    <t>9781668423066</t>
  </si>
  <si>
    <t>9781668423042</t>
  </si>
  <si>
    <t>AI Applications for Disease Diagnosis and Treatment</t>
  </si>
  <si>
    <t>Ouazzani, Rajae El</t>
  </si>
  <si>
    <t>http://services.igi-global.com/resolvedoi/resolve.aspx?doi=10.4018/978-1-6684-2304-2</t>
    <phoneticPr fontId="36" type="noConversion"/>
  </si>
  <si>
    <t>9781668451304</t>
  </si>
  <si>
    <t>9781668451298</t>
  </si>
  <si>
    <t>Handbook of Research on Advanced Phytochemicals and Plant-Based Drug Discovery</t>
  </si>
  <si>
    <t>http://services.igi-global.com/resolvedoi/resolve.aspx?doi=10.4018/978-1-6684-5129-8</t>
    <phoneticPr fontId="36" type="noConversion"/>
  </si>
  <si>
    <t>9781668464359</t>
  </si>
  <si>
    <t>9781668464342</t>
  </si>
  <si>
    <t>Recent Advancements in Smart Remote Patient Monitoring, Wearable Devices, and Diagnostics Systems</t>
  </si>
  <si>
    <t>Zeshan, Furkh</t>
  </si>
  <si>
    <t>http://services.igi-global.com/resolvedoi/resolve.aspx?doi=10.4018/978-1-6684-6434-2</t>
    <phoneticPr fontId="36" type="noConversion"/>
  </si>
  <si>
    <t>9781668468951</t>
  </si>
  <si>
    <t>9781668468944</t>
  </si>
  <si>
    <t>Dynamics of Swarm Intelligence Health Analysis for the Next Generation</t>
  </si>
  <si>
    <t>Kumar, Arumugam Suresh</t>
  </si>
  <si>
    <t>http://services.igi-global.com/resolvedoi/resolve.aspx?doi=10.4018/978-1-6684-6894-4</t>
    <phoneticPr fontId="36" type="noConversion"/>
  </si>
  <si>
    <r>
      <t xml:space="preserve">B1020D3 </t>
    </r>
    <r>
      <rPr>
        <sz val="10"/>
        <rFont val="新細明體"/>
        <family val="1"/>
        <charset val="136"/>
      </rPr>
      <t>婦產科</t>
    </r>
  </si>
  <si>
    <t>9781668450895</t>
  </si>
  <si>
    <t>9781668450888</t>
  </si>
  <si>
    <t>Perspectives on Coping Strategies for Menstrual and Premenstrual Distress</t>
  </si>
  <si>
    <t>Parimal, B.S.</t>
  </si>
  <si>
    <t>http://services.igi-global.com/resolvedoi/resolve.aspx?doi=10.4018/978-1-6684-5088-8</t>
    <phoneticPr fontId="36" type="noConversion"/>
  </si>
  <si>
    <t>9781668446737</t>
  </si>
  <si>
    <t>9781668446713</t>
  </si>
  <si>
    <t>Machine Learning and AI Techniques in Interactive Medical Image Analysis</t>
  </si>
  <si>
    <t>Panigrahi, Lipismita</t>
  </si>
  <si>
    <t>http://services.igi-global.com/resolvedoi/resolve.aspx?doi=10.4018/978-1-6684-4671-3</t>
    <phoneticPr fontId="36" type="noConversion"/>
  </si>
  <si>
    <t>9781668459263</t>
  </si>
  <si>
    <t>9781668459256</t>
  </si>
  <si>
    <t>Digital Twins and Healthcare: Trends, Techniques, and Challenges</t>
  </si>
  <si>
    <t>http://services.igi-global.com/resolvedoi/resolve.aspx?doi=10.4018/978-1-6684-5925-6</t>
    <phoneticPr fontId="36" type="noConversion"/>
  </si>
  <si>
    <r>
      <t xml:space="preserve">B101003 </t>
    </r>
    <r>
      <rPr>
        <sz val="10"/>
        <rFont val="新細明體"/>
        <family val="1"/>
        <charset val="136"/>
      </rPr>
      <t>藥理及毒理</t>
    </r>
  </si>
  <si>
    <t>9781668456538</t>
  </si>
  <si>
    <t>9781668456521</t>
  </si>
  <si>
    <t>Medical Cannabis and the Effects of Cannabinoids on Fighting Cancer, Multiple Sclerosis, Epilepsy, Parkinson's, and Other Neurodegenerative Diseases</t>
  </si>
  <si>
    <t>Zeine, Rana R.</t>
  </si>
  <si>
    <t>http://services.igi-global.com/resolvedoi/resolve.aspx?doi=10.4018/978-1-6684-5652-1</t>
    <phoneticPr fontId="36" type="noConversion"/>
  </si>
  <si>
    <t>9781668464977</t>
  </si>
  <si>
    <t>9781668464960</t>
  </si>
  <si>
    <t>Acceleration of the Biopsychosocial Model in Public Health</t>
  </si>
  <si>
    <t>http://services.igi-global.com/resolvedoi/resolve.aspx?doi=10.4018/978-1-6684-6496-0</t>
    <phoneticPr fontId="36" type="noConversion"/>
  </si>
  <si>
    <t>9781522552352</t>
  </si>
  <si>
    <t>9781522552345</t>
  </si>
  <si>
    <t>Handbook of Research on Ergonomics and Product Design</t>
  </si>
  <si>
    <t>Hernández-Arellano, Juan Luis</t>
  </si>
  <si>
    <t>http://services.igi-global.com/resolvedoi/resolve.aspx?doi=10.4018/978-1-5225-5234-5</t>
    <phoneticPr fontId="36" type="noConversion"/>
  </si>
  <si>
    <t>9781799842569</t>
  </si>
  <si>
    <t>9781799842552</t>
  </si>
  <si>
    <t>Airline Green Operations Strategies: Emerging Research and Opportunities</t>
  </si>
  <si>
    <t>Migdadi, Yazan Khalid Abed-Allah</t>
    <phoneticPr fontId="36" type="noConversion"/>
  </si>
  <si>
    <t>http://services.igi-global.com/resolvedoi/resolve.aspx?doi=10.4018/978-1-7998-4255-2</t>
    <phoneticPr fontId="36" type="noConversion"/>
  </si>
  <si>
    <t>9781799849469</t>
  </si>
  <si>
    <t>9781799849452</t>
  </si>
  <si>
    <t>Hydrogen Fuel Cell Technology for Stationary Applications</t>
  </si>
  <si>
    <t>Badea, Gheorghe</t>
  </si>
  <si>
    <t>http://services.igi-global.com/resolvedoi/resolve.aspx?doi=10.4018/978-1-7998-4945-2</t>
    <phoneticPr fontId="36" type="noConversion"/>
  </si>
  <si>
    <t>9781799874492</t>
  </si>
  <si>
    <t>9781799874478</t>
  </si>
  <si>
    <t>Modeling and Control of Static Converters for Hybrid Storage Systems</t>
  </si>
  <si>
    <t>Fekik, Arezki</t>
  </si>
  <si>
    <t>http://services.igi-global.com/resolvedoi/resolve.aspx?doi=10.4018/978-1-7998-7447-8</t>
    <phoneticPr fontId="36" type="noConversion"/>
  </si>
  <si>
    <t>9781522531098</t>
  </si>
  <si>
    <t>9781522531081</t>
  </si>
  <si>
    <t>Socio-Technical Decision Support in Air Navigation Systems: Emerging Research and Opportunities</t>
  </si>
  <si>
    <t>http://services.igi-global.com/resolvedoi/resolve.aspx?doi=10.4018/978-1-5225-3108-1</t>
    <phoneticPr fontId="36" type="noConversion"/>
  </si>
  <si>
    <r>
      <t xml:space="preserve">M05 </t>
    </r>
    <r>
      <rPr>
        <sz val="10"/>
        <rFont val="新細明體"/>
        <family val="1"/>
        <charset val="136"/>
      </rPr>
      <t>地球科學</t>
    </r>
  </si>
  <si>
    <t>9781799895008</t>
  </si>
  <si>
    <t>9781799894988</t>
  </si>
  <si>
    <t>Handbook of Research on Monitoring and Evaluating the Ecological Health of Wetlands</t>
  </si>
  <si>
    <t>http://services.igi-global.com/resolvedoi/resolve.aspx?doi=10.4018/978-1-7998-9498-8</t>
    <phoneticPr fontId="36" type="noConversion"/>
  </si>
  <si>
    <t>9781799890140</t>
  </si>
  <si>
    <t>9781799890126</t>
  </si>
  <si>
    <t>Applications of Computational Science in Artificial Intelligence</t>
  </si>
  <si>
    <t>Nayyar, Anand</t>
  </si>
  <si>
    <t>http://services.igi-global.com/resolvedoi/resolve.aspx?doi=10.4018/978-1-7998-9012-6</t>
    <phoneticPr fontId="36" type="noConversion"/>
  </si>
  <si>
    <t>9781799895923</t>
  </si>
  <si>
    <t>9781799895909</t>
  </si>
  <si>
    <t>Innovative Economic, Social, and Environmental Practices for Progressing Future Sustainability</t>
  </si>
  <si>
    <t>Goi, Chai Lee</t>
  </si>
  <si>
    <t>http://services.igi-global.com/resolvedoi/resolve.aspx?doi=10.4018/978-1-7998-9590-9</t>
    <phoneticPr fontId="36" type="noConversion"/>
  </si>
  <si>
    <t>9781799897125</t>
  </si>
  <si>
    <t>9781799897101</t>
  </si>
  <si>
    <t>Advances in Deep Learning Applications for Smart Cities</t>
  </si>
  <si>
    <t>Kumar, Rajeev</t>
  </si>
  <si>
    <t>http://services.igi-global.com/resolvedoi/resolve.aspx?doi=10.4018/978-1-7998-9710-1</t>
    <phoneticPr fontId="36" type="noConversion"/>
  </si>
  <si>
    <t>9781668451144</t>
  </si>
  <si>
    <t>9781668451137</t>
  </si>
  <si>
    <t>Handbook of Research on SDGs for Economic Development, Social Development, and Environmental Protection</t>
  </si>
  <si>
    <t>http://services.igi-global.com/resolvedoi/resolve.aspx?doi=10.4018/978-1-6684-5113-7</t>
    <phoneticPr fontId="36" type="noConversion"/>
  </si>
  <si>
    <t>9781668438572</t>
  </si>
  <si>
    <t>9781668438558</t>
  </si>
  <si>
    <t>5G Internet of Things and Changing Standards for Computing and Electronic Systems</t>
  </si>
  <si>
    <t>http://services.igi-global.com/resolvedoi/resolve.aspx?doi=10.4018/978-1-6684-3855-8</t>
    <phoneticPr fontId="36" type="noConversion"/>
  </si>
  <si>
    <t>9781668439234</t>
  </si>
  <si>
    <t>9781668439210</t>
  </si>
  <si>
    <t>Information Security Practices for the Internet of Things, 5G, and Next-Generation Wireless Networks</t>
  </si>
  <si>
    <t>Sahoo, Biswa Mohan</t>
  </si>
  <si>
    <t>http://services.igi-global.com/resolvedoi/resolve.aspx?doi=10.4018/978-1-6684-3921-0</t>
    <phoneticPr fontId="36" type="noConversion"/>
  </si>
  <si>
    <t>9781668439838</t>
  </si>
  <si>
    <t>9781668439814</t>
  </si>
  <si>
    <t>Artificial Intelligence of Things for Weather Forecasting and Climatic Behavioral Analysis</t>
  </si>
  <si>
    <t>Gupta, Rajeev Kumar</t>
  </si>
  <si>
    <t>http://services.igi-global.com/resolvedoi/resolve.aspx?doi=10.4018/978-1-6684-3981-4</t>
    <phoneticPr fontId="36" type="noConversion"/>
  </si>
  <si>
    <t>9781668424452</t>
  </si>
  <si>
    <t>9781668424438</t>
  </si>
  <si>
    <t>Artificial Intelligence for Societal Development and Global Well-Being</t>
  </si>
  <si>
    <t>Saxena, Abhay</t>
  </si>
  <si>
    <t>http://services.igi-global.com/resolvedoi/resolve.aspx?doi=10.4018/978-1-6684-2443-8</t>
    <phoneticPr fontId="36" type="noConversion"/>
  </si>
  <si>
    <t>9781668424643</t>
  </si>
  <si>
    <t>9781668424629</t>
  </si>
  <si>
    <t>Remapping Urban Heat Island Atlases in Regenerative Cities</t>
  </si>
  <si>
    <t>http://services.igi-global.com/resolvedoi/resolve.aspx?doi=10.4018/978-1-6684-2462-9</t>
    <phoneticPr fontId="36" type="noConversion"/>
  </si>
  <si>
    <t>9781799894322</t>
  </si>
  <si>
    <t>9781799894308</t>
  </si>
  <si>
    <t>Applications of Machine Learning and Deep Learning for Privacy and Cybersecurity</t>
  </si>
  <si>
    <t>Lobo, Victor</t>
  </si>
  <si>
    <t>http://services.igi-global.com/resolvedoi/resolve.aspx?doi=10.4018/978-1-7998-9430-8</t>
    <phoneticPr fontId="36" type="noConversion"/>
  </si>
  <si>
    <t>9781668467527</t>
  </si>
  <si>
    <t>9781668467503</t>
  </si>
  <si>
    <t>Frameworks for Sustainable Development Goals to Manage Economic, Social, and Environmental Shocks and Disasters</t>
  </si>
  <si>
    <t>http://services.igi-global.com/resolvedoi/resolve.aspx?doi=10.4018/978-1-6684-6750-3</t>
    <phoneticPr fontId="36" type="noConversion"/>
  </si>
  <si>
    <t>9781799878544</t>
  </si>
  <si>
    <t>9781799878520</t>
  </si>
  <si>
    <t>Applied AI and Multimedia Technologies for Smart Manufacturing and CPS Applications</t>
  </si>
  <si>
    <t>Oyekanlu, Emmanuel</t>
  </si>
  <si>
    <t>http://services.igi-global.com/resolvedoi/resolve.aspx?doi=10.4018/978-1-7998-7852-0</t>
    <phoneticPr fontId="36" type="noConversion"/>
  </si>
  <si>
    <t>9781668459935</t>
  </si>
  <si>
    <t>9781668459911</t>
  </si>
  <si>
    <t>Information Security and Privacy in Smart Devices: Tools, Methods, and Applications</t>
  </si>
  <si>
    <t>Rabadão, Carlos</t>
  </si>
  <si>
    <t>http://services.igi-global.com/resolvedoi/resolve.aspx?doi=10.4018/978-1-6684-5991-1</t>
    <phoneticPr fontId="36" type="noConversion"/>
  </si>
  <si>
    <t>9781668464199</t>
  </si>
  <si>
    <t>9781668464182</t>
  </si>
  <si>
    <t>Smart Village Infrastructure and Sustainable Rural Communities</t>
  </si>
  <si>
    <t>http://services.igi-global.com/resolvedoi/resolve.aspx?doi=10.4018/978-1-6684-6418-2</t>
    <phoneticPr fontId="36" type="noConversion"/>
  </si>
  <si>
    <t>9781668459980</t>
  </si>
  <si>
    <t>9781668459966</t>
  </si>
  <si>
    <t>Handbook of Research on Promoting Sustainable Public Transportation Strategies in Urban Environments</t>
  </si>
  <si>
    <t>Yilmaz, Zafer</t>
  </si>
  <si>
    <t>http://services.igi-global.com/resolvedoi/resolve.aspx?doi=10.4018/978-1-6684-5996-6</t>
    <phoneticPr fontId="36" type="noConversion"/>
  </si>
  <si>
    <t>9781668466339</t>
  </si>
  <si>
    <t>9781668466315</t>
  </si>
  <si>
    <t>Artificial Intelligence Applications in Battery Management Systems and Routing Problems in Electric Vehicles</t>
  </si>
  <si>
    <t>Angalaeswari, S.</t>
  </si>
  <si>
    <t>http://services.igi-global.com/resolvedoi/resolve.aspx?doi=10.4018/978-1-6684-6631-5</t>
    <phoneticPr fontId="36" type="noConversion"/>
  </si>
  <si>
    <t>9781668468234</t>
  </si>
  <si>
    <t>9781668468210</t>
  </si>
  <si>
    <t>Handbook of Research on Applications of AI, Digital Twin, and Internet of Things for Sustainable Development</t>
  </si>
  <si>
    <t>http://services.igi-global.com/resolvedoi/resolve.aspx?doi=10.4018/978-1-6684-6821-0</t>
    <phoneticPr fontId="36" type="noConversion"/>
  </si>
  <si>
    <t>9781668441558</t>
  </si>
  <si>
    <t>9781668441534</t>
  </si>
  <si>
    <t>Glocal Policy and Strategies for Blockchain: Building Ecosystems and Sustainability</t>
  </si>
  <si>
    <t>Kurubacak, Gülsün</t>
  </si>
  <si>
    <t>http://services.igi-global.com/resolvedoi/resolve.aspx?doi=10.4018/978-1-6684-4153-4</t>
    <phoneticPr fontId="36" type="noConversion"/>
  </si>
  <si>
    <t>9781668462355</t>
  </si>
  <si>
    <t>9781668462348</t>
  </si>
  <si>
    <t>Trends, Applications, and Challenges of Chatbot Technology</t>
  </si>
  <si>
    <t>Kuhail, Mohammad Amin</t>
  </si>
  <si>
    <t>http://services.igi-global.com/resolvedoi/resolve.aspx?doi=10.4018/978-1-6684-6234-8</t>
    <phoneticPr fontId="36" type="noConversion"/>
  </si>
  <si>
    <t>9781668469118</t>
  </si>
  <si>
    <t>9781668469095</t>
  </si>
  <si>
    <t>Advanced Applications of NLP and Deep Learning in Social Media Data</t>
  </si>
  <si>
    <t>El-Latif, Ahmed A. Abd</t>
  </si>
  <si>
    <t>http://services.igi-global.com/resolvedoi/resolve.aspx?doi=10.4018/978-1-6684-6909-5</t>
    <phoneticPr fontId="36" type="noConversion"/>
  </si>
  <si>
    <t>9781668469057</t>
  </si>
  <si>
    <t>9781668469033</t>
  </si>
  <si>
    <t>Concepts and Techniques of Graph Neural Networks</t>
  </si>
  <si>
    <t>Kumar, Vinod</t>
  </si>
  <si>
    <t>http://services.igi-global.com/resolvedoi/resolve.aspx?doi=10.4018/978-1-6684-6903-3</t>
    <phoneticPr fontId="36" type="noConversion"/>
  </si>
  <si>
    <t>9781668469163</t>
  </si>
  <si>
    <t>9781668469149</t>
  </si>
  <si>
    <t>Protecting User Privacy in Web Search Utilization</t>
  </si>
  <si>
    <t>Khan, Rafi Ullah</t>
  </si>
  <si>
    <t>http://services.igi-global.com/resolvedoi/resolve.aspx?doi=10.4018/978-1-6684-6914-9</t>
    <phoneticPr fontId="36" type="noConversion"/>
  </si>
  <si>
    <t>9781668469392</t>
  </si>
  <si>
    <t>9781668469378</t>
  </si>
  <si>
    <t>Handbook of Research on AI Methods and Applications in Computer Engineering</t>
  </si>
  <si>
    <t>Kaddoura, Sanaa</t>
  </si>
  <si>
    <t>http://services.igi-global.com/resolvedoi/resolve.aspx?doi=10.4018/978-1-6684-6937-8</t>
    <phoneticPr fontId="36" type="noConversion"/>
  </si>
  <si>
    <t>9781668461259</t>
  </si>
  <si>
    <t>9781668461235</t>
  </si>
  <si>
    <t>Handbook of Research on Solving Societal Challenges Through Sustainability-Oriented Innovation</t>
  </si>
  <si>
    <t>http://services.igi-global.com/resolvedoi/resolve.aspx?doi=10.4018/978-1-6684-6123-5</t>
    <phoneticPr fontId="36" type="noConversion"/>
  </si>
  <si>
    <t>9781668469828</t>
  </si>
  <si>
    <t>9781668469804</t>
  </si>
  <si>
    <t>Exploring Future Opportunities of Brain-Inspired Artificial Intelligence</t>
  </si>
  <si>
    <t>Bhatia, Madhulika</t>
  </si>
  <si>
    <t>http://services.igi-global.com/resolvedoi/resolve.aspx?doi=10.4018/978-1-6684-6980-4</t>
    <phoneticPr fontId="36" type="noConversion"/>
  </si>
  <si>
    <t>9781668471029</t>
  </si>
  <si>
    <t>9781668471005</t>
  </si>
  <si>
    <t>Advanced Applications of Python Data Structures and Algorithms</t>
  </si>
  <si>
    <t>Galety, Mohammad Gouse</t>
  </si>
  <si>
    <t>http://services.igi-global.com/resolvedoi/resolve.aspx?doi=10.4018/978-1-6684-7100-5</t>
    <phoneticPr fontId="36" type="noConversion"/>
  </si>
  <si>
    <t>9781668473450</t>
  </si>
  <si>
    <t>9781668473436</t>
  </si>
  <si>
    <t>Constraint Decision-Making Systems in Engineering</t>
  </si>
  <si>
    <t>Das, Santosh Kumar</t>
  </si>
  <si>
    <t>http://services.igi-global.com/resolvedoi/resolve.aspx?doi=10.4018/978-1-6684-7343-6</t>
    <phoneticPr fontId="36" type="noConversion"/>
  </si>
  <si>
    <t>9781668452561</t>
  </si>
  <si>
    <t>9781668452554</t>
  </si>
  <si>
    <t>Applying AI-Based IoT Systems to Simulation-Based Information Retrieval</t>
  </si>
  <si>
    <t>Madhulika, Bhatia</t>
  </si>
  <si>
    <t>http://services.igi-global.com/resolvedoi/resolve.aspx?doi=10.4018/978-1-6684-5255-4</t>
    <phoneticPr fontId="36" type="noConversion"/>
  </si>
  <si>
    <t>9781668452660</t>
  </si>
  <si>
    <t>9781668452646</t>
  </si>
  <si>
    <t>Convergence of Big Data Technologies and Computational Intelligent Techniques</t>
  </si>
  <si>
    <t>Gupta, Govind P.</t>
  </si>
  <si>
    <t>http://services.igi-global.com/resolvedoi/resolve.aspx?doi=10.4018/978-1-6684-5264-6</t>
    <phoneticPr fontId="36" type="noConversion"/>
  </si>
  <si>
    <t>9781668449936</t>
  </si>
  <si>
    <t>9781668449912</t>
  </si>
  <si>
    <t>Revolutionizing Industrial Automation Through the Convergence of Artificial Intelligence and the Internet of Things</t>
  </si>
  <si>
    <t>Mishra, Divya Upadhyay</t>
  </si>
  <si>
    <t>http://services.igi-global.com/resolvedoi/resolve.aspx?doi=10.4018/978-1-6684-4991-2</t>
    <phoneticPr fontId="36" type="noConversion"/>
  </si>
  <si>
    <t>9781668457245</t>
  </si>
  <si>
    <t>9781668457221</t>
  </si>
  <si>
    <t>New Approaches to Data Analytics and Internet of Things Through Digital Twin</t>
  </si>
  <si>
    <t>http://services.igi-global.com/resolvedoi/resolve.aspx?doi=10.4018/978-1-6684-5722-1</t>
    <phoneticPr fontId="36" type="noConversion"/>
  </si>
  <si>
    <t>9781668452714</t>
  </si>
  <si>
    <t>9781668452691</t>
  </si>
  <si>
    <t>Biomass and Bioenergy Solutions for Climate Change Mitigation and Sustainability</t>
  </si>
  <si>
    <t>http://services.igi-global.com/resolvedoi/resolve.aspx?doi=10.4018/978-1-6684-5269-1</t>
    <phoneticPr fontId="36" type="noConversion"/>
  </si>
  <si>
    <t>9781799892212</t>
  </si>
  <si>
    <t>9781799892205</t>
  </si>
  <si>
    <t>Encyclopedia of Data Science and Machine Learning</t>
  </si>
  <si>
    <t>http://services.igi-global.com/resolvedoi/resolve.aspx?doi=10.4018/978-1-7998-9220-5</t>
    <phoneticPr fontId="36" type="noConversion"/>
  </si>
  <si>
    <t>9781668448311</t>
  </si>
  <si>
    <t>9781668448298</t>
  </si>
  <si>
    <t>Climate Change, World Consequences, and the Sustainable Development Goals for 2030</t>
  </si>
  <si>
    <t>Pego, Ana</t>
  </si>
  <si>
    <t>http://services.igi-global.com/resolvedoi/resolve.aspx?doi=10.4018/978-1-6684-4829-8</t>
    <phoneticPr fontId="36" type="noConversion"/>
  </si>
  <si>
    <t>9781668458297</t>
  </si>
  <si>
    <t>9781668458273</t>
  </si>
  <si>
    <t>Cybersecurity Issues, Challenges, and Solutions in the Business World</t>
  </si>
  <si>
    <t>Verma, Suhasini</t>
  </si>
  <si>
    <t>http://services.igi-global.com/resolvedoi/resolve.aspx?doi=10.4018/978-1-6684-5827-3</t>
    <phoneticPr fontId="36" type="noConversion"/>
  </si>
  <si>
    <t>9781799883449</t>
  </si>
  <si>
    <t>9781799883432</t>
  </si>
  <si>
    <t>Controlling Epidemics With Mathematical and Machine Learning Models</t>
  </si>
  <si>
    <t>Varghese, Abraham</t>
  </si>
  <si>
    <t>http://services.igi-global.com/resolvedoi/resolve.aspx?doi=10.4018/978-1-7998-8343-2</t>
    <phoneticPr fontId="36" type="noConversion"/>
  </si>
  <si>
    <t>9781799888949</t>
  </si>
  <si>
    <t>9781799888925</t>
  </si>
  <si>
    <t>Handbook of Research on Computer Vision and Image Processing in the Deep Learning Era</t>
  </si>
  <si>
    <t>Srinivasan, A.</t>
  </si>
  <si>
    <t>http://services.igi-global.com/resolvedoi/resolve.aspx?doi=10.4018/978-1-7998-8892-5</t>
    <phoneticPr fontId="36" type="noConversion"/>
  </si>
  <si>
    <t>9781668456750</t>
  </si>
  <si>
    <t>9781668456736</t>
  </si>
  <si>
    <t>Multidisciplinary Applications of Deep Learning-Based Artificial Emotional Intelligence</t>
  </si>
  <si>
    <t>Chowdhary, Chiranji Lal</t>
  </si>
  <si>
    <t>http://services.igi-global.com/resolvedoi/resolve.aspx?doi=10.4018/978-1-6684-5673-6</t>
    <phoneticPr fontId="36" type="noConversion"/>
  </si>
  <si>
    <t>9781668458891</t>
  </si>
  <si>
    <t>9781668458877</t>
  </si>
  <si>
    <t>Trends, Paradigms, and Advances in Mechatronics Engineering</t>
  </si>
  <si>
    <t>http://services.igi-global.com/resolvedoi/resolve.aspx?doi=10.4018/978-1-6684-5887-7</t>
    <phoneticPr fontId="36" type="noConversion"/>
  </si>
  <si>
    <t>9781668449769</t>
  </si>
  <si>
    <t>9781668449745</t>
  </si>
  <si>
    <t>Energy Systems Design for Low-Power Computing</t>
  </si>
  <si>
    <t>Gatti, Rathishchandra Ramachandra</t>
  </si>
  <si>
    <t>http://services.igi-global.com/resolvedoi/resolve.aspx?doi=10.4018/978-1-6684-4974-5</t>
    <phoneticPr fontId="36" type="noConversion"/>
  </si>
  <si>
    <t>9781668456446</t>
  </si>
  <si>
    <t>9781668456439</t>
  </si>
  <si>
    <t>Artificial Intelligence and Machine Learning Techniques for Civil Engineering</t>
  </si>
  <si>
    <t>http://services.igi-global.com/resolvedoi/resolve.aspx?doi=10.4018/978-1-6684-5643-9</t>
    <phoneticPr fontId="36" type="noConversion"/>
  </si>
  <si>
    <t>9781668462447</t>
  </si>
  <si>
    <t>9781668462423</t>
  </si>
  <si>
    <t>Handbook of Research on Artificial Intelligence Applications in Literary Works and Social Media</t>
  </si>
  <si>
    <t>Keikhosrokiani, Pantea</t>
  </si>
  <si>
    <t>http://services.igi-global.com/resolvedoi/resolve.aspx?doi=10.4018/978-1-6684-6242-3</t>
    <phoneticPr fontId="36" type="noConversion"/>
  </si>
  <si>
    <t>9781668462775</t>
  </si>
  <si>
    <t>9781668462751</t>
  </si>
  <si>
    <t>Convergence of Deep Learning and Internet of Things: Computing and Technology</t>
  </si>
  <si>
    <t>Kavitha, T.</t>
  </si>
  <si>
    <t>http://services.igi-global.com/resolvedoi/resolve.aspx?doi=10.4018/978-1-6684-6275-1</t>
    <phoneticPr fontId="36" type="noConversion"/>
  </si>
  <si>
    <r>
      <t xml:space="preserve">H14 </t>
    </r>
    <r>
      <rPr>
        <sz val="10"/>
        <rFont val="新細明體"/>
        <family val="2"/>
        <charset val="136"/>
      </rPr>
      <t>政治學</t>
    </r>
  </si>
  <si>
    <t>Immigration and the Current Social, Political, and Economic Climate: Breakthroughs in Research and Practice</t>
  </si>
  <si>
    <r>
      <rPr>
        <sz val="10"/>
        <rFont val="新細明體"/>
        <family val="2"/>
        <charset val="136"/>
      </rPr>
      <t>無光碟附件</t>
    </r>
  </si>
  <si>
    <t>http://services.igi-global.com/resolvedoi/resolve.aspx?doi=10.4018/978-1-5225-6918-3</t>
    <phoneticPr fontId="36" type="noConversion"/>
  </si>
  <si>
    <r>
      <t xml:space="preserve">H11 </t>
    </r>
    <r>
      <rPr>
        <sz val="10"/>
        <rFont val="新細明體"/>
        <family val="2"/>
        <charset val="136"/>
      </rPr>
      <t>教育學</t>
    </r>
  </si>
  <si>
    <t>Open and Social Learning in Impact Communities and Smart Territories</t>
  </si>
  <si>
    <t>http://services.igi-global.com/resolvedoi/resolve.aspx?doi=10.4018/978-1-5225-5867-5</t>
    <phoneticPr fontId="36" type="noConversion"/>
  </si>
  <si>
    <t>Diverse Learning Opportunities Through Technology-Based Curriculum Design</t>
  </si>
  <si>
    <t>Williams, Demetrick</t>
  </si>
  <si>
    <t>http://services.igi-global.com/resolvedoi/resolve.aspx?doi=10.4018/978-1-5225-5519-3</t>
    <phoneticPr fontId="36" type="noConversion"/>
  </si>
  <si>
    <t>Engaging STEM Students From Rural Areas: Emerging Research and Opportunities</t>
  </si>
  <si>
    <t>Rogers, Reenay R.H.</t>
  </si>
  <si>
    <t>http://services.igi-global.com/resolvedoi/resolve.aspx?doi=10.4018/978-1-5225-6341-9</t>
    <phoneticPr fontId="36" type="noConversion"/>
  </si>
  <si>
    <t>Technology-Supported Teaching and Research Methods for Educators</t>
  </si>
  <si>
    <t>Makewa, Lazarus Ndiku</t>
  </si>
  <si>
    <t>http://services.igi-global.com/resolvedoi/resolve.aspx?doi=10.4018/978-1-5225-5915-3</t>
    <phoneticPr fontId="36" type="noConversion"/>
  </si>
  <si>
    <r>
      <t xml:space="preserve">H41 </t>
    </r>
    <r>
      <rPr>
        <sz val="10"/>
        <rFont val="新細明體"/>
        <family val="2"/>
        <charset val="136"/>
      </rPr>
      <t>管理一</t>
    </r>
    <r>
      <rPr>
        <sz val="10"/>
        <rFont val="Times New Roman"/>
        <family val="1"/>
      </rPr>
      <t>(</t>
    </r>
    <r>
      <rPr>
        <sz val="10"/>
        <rFont val="新細明體"/>
        <family val="2"/>
        <charset val="136"/>
      </rPr>
      <t>人資、組織行為、策略管理、國企、醫管、科管</t>
    </r>
    <r>
      <rPr>
        <sz val="10"/>
        <rFont val="Times New Roman"/>
        <family val="1"/>
      </rPr>
      <t>)</t>
    </r>
  </si>
  <si>
    <t>Global Cyber Security Labor Shortage and International Business Risk</t>
  </si>
  <si>
    <t>http://services.igi-global.com/resolvedoi/resolve.aspx?doi=10.4018/978-1-5225-5927-6</t>
    <phoneticPr fontId="36" type="noConversion"/>
  </si>
  <si>
    <r>
      <t xml:space="preserve">H19 </t>
    </r>
    <r>
      <rPr>
        <sz val="10"/>
        <rFont val="新細明體"/>
        <family val="2"/>
        <charset val="136"/>
      </rPr>
      <t>傳播學</t>
    </r>
  </si>
  <si>
    <t>Enabling Technologies and Architectures for Next-Generation Networking Capabilities</t>
  </si>
  <si>
    <t>Elkhodr, Mahmoud</t>
  </si>
  <si>
    <t>http://services.igi-global.com/resolvedoi/resolve.aspx?doi=10.4018/978-1-5225-6023-4</t>
    <phoneticPr fontId="36" type="noConversion"/>
  </si>
  <si>
    <t>Dynamic Perspectives on Globalization and Sustainable Business in Asia</t>
  </si>
  <si>
    <t>Ordoñez de Pablos, Patricia</t>
  </si>
  <si>
    <t>http://services.igi-global.com/resolvedoi/resolve.aspx?doi=10.4018/978-1-5225-7095-0</t>
    <phoneticPr fontId="36" type="noConversion"/>
  </si>
  <si>
    <r>
      <t xml:space="preserve">H15 </t>
    </r>
    <r>
      <rPr>
        <sz val="10"/>
        <rFont val="新細明體"/>
        <family val="2"/>
        <charset val="136"/>
      </rPr>
      <t>經濟學</t>
    </r>
  </si>
  <si>
    <t>Handbook of Research on International Collaboration, Economic Development, and Sustainability in the Arctic</t>
  </si>
  <si>
    <t>Erokhin, Vasilii</t>
  </si>
  <si>
    <t>http://services.igi-global.com/resolvedoi/resolve.aspx?doi=10.4018/978-1-5225-6954-1</t>
    <phoneticPr fontId="36" type="noConversion"/>
  </si>
  <si>
    <t>Global Approaches to Sustainability Through Learning and Education</t>
  </si>
  <si>
    <t>Al-Sartawi, Abdalmuttaleb M.A. Musleh</t>
  </si>
  <si>
    <t>http://services.igi-global.com/resolvedoi/resolve.aspx?doi=10.4018/978-1-7998-0062-0</t>
    <phoneticPr fontId="36" type="noConversion"/>
  </si>
  <si>
    <t>Advanced MIS and Digital Transformation for Increased Creativity and Innovation in Business</t>
  </si>
  <si>
    <t>Ekren, Gülay</t>
  </si>
  <si>
    <t>http://services.igi-global.com/resolvedoi/resolve.aspx?doi=10.4018/978-1-5225-9550-2</t>
    <phoneticPr fontId="36" type="noConversion"/>
  </si>
  <si>
    <r>
      <t xml:space="preserve">H05 </t>
    </r>
    <r>
      <rPr>
        <sz val="10"/>
        <rFont val="新細明體"/>
        <family val="2"/>
        <charset val="136"/>
      </rPr>
      <t>文學二</t>
    </r>
    <r>
      <rPr>
        <sz val="10"/>
        <rFont val="Times New Roman"/>
        <family val="1"/>
      </rPr>
      <t>(</t>
    </r>
    <r>
      <rPr>
        <sz val="10"/>
        <rFont val="新細明體"/>
        <family val="2"/>
        <charset val="136"/>
      </rPr>
      <t>外國文學、性別研究、文化研究</t>
    </r>
    <r>
      <rPr>
        <sz val="10"/>
        <rFont val="Times New Roman"/>
        <family val="1"/>
      </rPr>
      <t>)</t>
    </r>
  </si>
  <si>
    <t>Multidisciplinary Perspectives on Women, Voice, and Agency</t>
  </si>
  <si>
    <t>Yanikkaya, Berrin</t>
  </si>
  <si>
    <t>http://services.igi-global.com/resolvedoi/resolve.aspx?doi=10.4018/978-1-7998-4829-5</t>
    <phoneticPr fontId="36" type="noConversion"/>
  </si>
  <si>
    <t>Impact of AI Technologies on Teaching, Learning, and Research in Higher Education</t>
  </si>
  <si>
    <t>Verma, Shivani</t>
  </si>
  <si>
    <t>http://services.igi-global.com/resolvedoi/resolve.aspx?doi=10.4018/978-1-7998-4763-2</t>
    <phoneticPr fontId="36" type="noConversion"/>
  </si>
  <si>
    <t>Handbook of Research on Critical Issues in Special Education for School Rehabilitation Practices</t>
  </si>
  <si>
    <t>http://services.igi-global.com/resolvedoi/resolve.aspx?doi=10.4018/978-1-7998-7630-4</t>
    <phoneticPr fontId="36" type="noConversion"/>
  </si>
  <si>
    <t>Handbook of Research on Contemporary Approaches to Orientalism in Media and Beyond</t>
  </si>
  <si>
    <t>Tombul, Işıl</t>
  </si>
  <si>
    <t>http://services.igi-global.com/resolvedoi/resolve.aspx?doi=10.4018/978-1-7998-7180-4</t>
    <phoneticPr fontId="36" type="noConversion"/>
  </si>
  <si>
    <t>Achieving Sustainability Using Creativity, Innovation, and Education: A Multidisciplinary Approach</t>
  </si>
  <si>
    <t>http://services.igi-global.com/resolvedoi/resolve.aspx?doi=10.4018/978-1-7998-7963-3</t>
    <phoneticPr fontId="36" type="noConversion"/>
  </si>
  <si>
    <t>Online Distance Learning Course Design and Multimedia in E-Learning</t>
  </si>
  <si>
    <t>Lopes, Ana Paula</t>
  </si>
  <si>
    <t>http://services.igi-global.com/resolvedoi/resolve.aspx?doi=10.4018/978-1-7998-9706-4</t>
    <phoneticPr fontId="36" type="noConversion"/>
  </si>
  <si>
    <t>Handbook of Research on Cyber Law, Data Protection, and Privacy</t>
  </si>
  <si>
    <t>http://services.igi-global.com/resolvedoi/resolve.aspx?doi=10.4018/978-1-7998-8641-9</t>
    <phoneticPr fontId="36" type="noConversion"/>
  </si>
  <si>
    <t>Strategic Human Resource Management in the Hospitality Industry: A Digitalized Economic Paradigm</t>
  </si>
  <si>
    <t>Kankaew, Kannapat</t>
  </si>
  <si>
    <t>http://services.igi-global.com/resolvedoi/resolve.aspx?doi=10.4018/978-1-6684-7494-5</t>
    <phoneticPr fontId="36" type="noConversion"/>
  </si>
  <si>
    <t>Music and Engagement in the Asian Political Space</t>
  </si>
  <si>
    <t>Onyebadi, Uche Titus</t>
  </si>
  <si>
    <t>http://services.igi-global.com/resolvedoi/resolve.aspx?doi=10.4018/978-1-7998-5817-1</t>
    <phoneticPr fontId="36" type="noConversion"/>
  </si>
  <si>
    <t>Leadership and Governance for Sustainability</t>
  </si>
  <si>
    <t>http://services.igi-global.com/resolvedoi/resolve.aspx?doi=10.4018/978-1-6684-9711-1</t>
    <phoneticPr fontId="36" type="noConversion"/>
  </si>
  <si>
    <t>Examinations and Analysis of Sequels and Serials in the Film Industry</t>
  </si>
  <si>
    <t>Seçmen, Emre Ahmet</t>
  </si>
  <si>
    <t>http://services.igi-global.com/resolvedoi/resolve.aspx?doi=10.4018/978-1-6684-7864-6</t>
    <phoneticPr fontId="36" type="noConversion"/>
  </si>
  <si>
    <t>Cultivating Critical Discourse in the Classroom</t>
  </si>
  <si>
    <t>Finley, Stacie Lynn</t>
  </si>
  <si>
    <t>http://services.igi-global.com/resolvedoi/resolve.aspx?doi=10.4018/978-1-6684-8296-4</t>
    <phoneticPr fontId="36" type="noConversion"/>
  </si>
  <si>
    <r>
      <t xml:space="preserve">HA3 </t>
    </r>
    <r>
      <rPr>
        <sz val="10"/>
        <rFont val="新細明體"/>
        <family val="2"/>
        <charset val="136"/>
      </rPr>
      <t>圖書資訊學</t>
    </r>
  </si>
  <si>
    <t>Information Literacy Skills and the Role of Social Media in Disseminating Scholarly Information in the 21st Century</t>
  </si>
  <si>
    <t>Baskaran, C.</t>
  </si>
  <si>
    <t>http://services.igi-global.com/resolvedoi/resolve.aspx?doi=10.4018/978-1-6684-8805-8</t>
    <phoneticPr fontId="36" type="noConversion"/>
  </si>
  <si>
    <r>
      <t xml:space="preserve">H12 </t>
    </r>
    <r>
      <rPr>
        <sz val="10"/>
        <rFont val="新細明體"/>
        <family val="2"/>
        <charset val="136"/>
      </rPr>
      <t>心理學</t>
    </r>
  </si>
  <si>
    <t>Facilitating Social Justice, Service Delivery, and Advocacy Through Multicultural Counseling Competencies</t>
  </si>
  <si>
    <t>Wilson, Keith B.</t>
  </si>
  <si>
    <t>http://services.igi-global.com/resolvedoi/resolve.aspx?doi=10.4018/978-1-6684-6155-6</t>
    <phoneticPr fontId="36" type="noConversion"/>
  </si>
  <si>
    <t>AI and Its Convergence With Communication Technologies</t>
  </si>
  <si>
    <t>Muneer, Badar</t>
  </si>
  <si>
    <t>http://services.igi-global.com/resolvedoi/resolve.aspx?doi=10.4018/978-1-6684-7702-1</t>
    <phoneticPr fontId="36" type="noConversion"/>
  </si>
  <si>
    <t>Artificial Intelligence Applications Using ChatGPT in Education: Case Studies and Practices</t>
  </si>
  <si>
    <t>Aslam, Muhammad Shahzad</t>
  </si>
  <si>
    <t>http://services.igi-global.com/resolvedoi/resolve.aspx?doi=10.4018/978-1-6684-9300-7</t>
    <phoneticPr fontId="36" type="noConversion"/>
  </si>
  <si>
    <t>Sustainable Consumption Experience and Business Models in the Modern World</t>
  </si>
  <si>
    <t>Carvalho, Maria Amélia Machado</t>
  </si>
  <si>
    <t>http://services.igi-global.com/resolvedoi/resolve.aspx?doi=10.4018/978-1-6684-9277-2</t>
    <phoneticPr fontId="36" type="noConversion"/>
  </si>
  <si>
    <t>Exploring Meaningful and Sustainable Intentional Learning Communities for P-20 Educators</t>
  </si>
  <si>
    <t>Adams, Susan R.</t>
  </si>
  <si>
    <t>http://services.igi-global.com/resolvedoi/resolve.aspx?doi=10.4018/978-1-6684-7270-5</t>
    <phoneticPr fontId="36" type="noConversion"/>
  </si>
  <si>
    <r>
      <t xml:space="preserve">H40 </t>
    </r>
    <r>
      <rPr>
        <sz val="10"/>
        <rFont val="新細明體"/>
        <family val="2"/>
        <charset val="136"/>
      </rPr>
      <t>財金及會計</t>
    </r>
  </si>
  <si>
    <t>Sustainable Investments in Green Finance</t>
  </si>
  <si>
    <t>Taneja, Sanjay</t>
  </si>
  <si>
    <t>http://services.igi-global.com/resolvedoi/resolve.aspx?doi=10.4018/979-8-3693-1388-6</t>
    <phoneticPr fontId="36" type="noConversion"/>
  </si>
  <si>
    <t>Smart Strategies and Societal Solutions for Sustainable International Business</t>
  </si>
  <si>
    <t>Derbali, Abdelkader Mohamed Sghaier</t>
  </si>
  <si>
    <t>http://services.igi-global.com/resolvedoi/resolve.aspx?doi=10.4018/979-8-3693-0532-4</t>
    <phoneticPr fontId="36" type="noConversion"/>
  </si>
  <si>
    <t>Intersecting Environmental Social Governance and AI for Business Sustainability</t>
  </si>
  <si>
    <t>http://services.igi-global.com/resolvedoi/resolve.aspx?doi=10.4018/979-8-3693-1151-6</t>
    <phoneticPr fontId="36" type="noConversion"/>
  </si>
  <si>
    <t>Leveraging ChatGPT and Artificial Intelligence for Effective Customer Engagement</t>
  </si>
  <si>
    <t>http://services.igi-global.com/resolvedoi/resolve.aspx?doi=10.4018/979-8-3693-0815-8</t>
    <phoneticPr fontId="36" type="noConversion"/>
  </si>
  <si>
    <t>Ecosystem Dynamics and Strategies for Startups Scalability</t>
  </si>
  <si>
    <t>http://services.igi-global.com/resolvedoi/resolve.aspx?doi=10.4018/979-8-3693-0527-0</t>
    <phoneticPr fontId="36" type="noConversion"/>
  </si>
  <si>
    <t>Human-Centered Approaches in Industry 5.0: Human-Machine Interaction, Virtual Reality Training, and Customer Sentiment Analysis</t>
  </si>
  <si>
    <t>Hassan, Ahdi</t>
  </si>
  <si>
    <t>http://services.igi-global.com/resolvedoi/resolve.aspx?doi=10.4018/979-8-3693-2647-3</t>
    <phoneticPr fontId="36" type="noConversion"/>
  </si>
  <si>
    <t>Architecture and Technological Advancements of Education 4.0</t>
  </si>
  <si>
    <t>Pandey, Rajiv</t>
  </si>
  <si>
    <t>http://services.igi-global.com/resolvedoi/resolve.aspx?doi=10.4018/978-1-6684-9285-7</t>
    <phoneticPr fontId="36" type="noConversion"/>
  </si>
  <si>
    <t>Innovation and Resource Management Strategies for Startups Development</t>
  </si>
  <si>
    <t>http://services.igi-global.com/resolvedoi/resolve.aspx?doi=10.4018/979-8-3693-2077-8</t>
    <phoneticPr fontId="36" type="noConversion"/>
  </si>
  <si>
    <t>Machine Learning and Data Science Techniques for Effective Government Service Delivery</t>
  </si>
  <si>
    <t>Ogunleye, Olalekan Samuel</t>
  </si>
  <si>
    <t>http://services.igi-global.com/resolvedoi/resolve.aspx?doi=10.4018/978-1-6684-9716-6</t>
    <phoneticPr fontId="36" type="noConversion"/>
  </si>
  <si>
    <t>Generative AI in Teaching and Learning</t>
  </si>
  <si>
    <t>http://services.igi-global.com/resolvedoi/resolve.aspx?doi=10.4018/979-8-3693-0074-9</t>
    <phoneticPr fontId="36" type="noConversion"/>
  </si>
  <si>
    <t>Exploring the Intersection of AI and Human Resources Management</t>
  </si>
  <si>
    <t>Rafiq, Muhammad</t>
  </si>
  <si>
    <t>http://services.igi-global.com/resolvedoi/resolve.aspx?doi=10.4018/979-8-3693-0039-8</t>
    <phoneticPr fontId="36" type="noConversion"/>
  </si>
  <si>
    <t>Drivers of SME Growth and Sustainability in Emerging Markets</t>
  </si>
  <si>
    <t>http://services.igi-global.com/resolvedoi/resolve.aspx?doi=10.4018/979-8-3693-0111-1</t>
    <phoneticPr fontId="36" type="noConversion"/>
  </si>
  <si>
    <t>Fostering Global Entrepreneurship Through Business Model Innovation</t>
  </si>
  <si>
    <t>Gupta, Varun</t>
  </si>
  <si>
    <t>http://services.igi-global.com/resolvedoi/resolve.aspx?doi=10.4018/978-1-6684-6975-0</t>
    <phoneticPr fontId="36" type="noConversion"/>
  </si>
  <si>
    <t>Emergent Practices of Learning Analytics in K-12 Classrooms</t>
  </si>
  <si>
    <t>Ulutaş, Nurdan Kavaklı</t>
  </si>
  <si>
    <t>http://services.igi-global.com/resolvedoi/resolve.aspx?doi=10.4018/979-8-3693-0066-4</t>
    <phoneticPr fontId="36" type="noConversion"/>
  </si>
  <si>
    <t>Design and Implementation of Higher Education Learners' Learning Outcomes (HELLO)</t>
  </si>
  <si>
    <t>Barua, Kuntal</t>
  </si>
  <si>
    <t>http://services.igi-global.com/resolvedoi/resolve.aspx?doi=10.4018/978-1-6684-9472-1</t>
    <phoneticPr fontId="36" type="noConversion"/>
  </si>
  <si>
    <t>Strategies and Approaches of Corporate Social Responsibility Toward Multinational Enterprises</t>
  </si>
  <si>
    <t>Shaikh, Erum</t>
  </si>
  <si>
    <t>http://services.igi-global.com/resolvedoi/resolve.aspx?doi=10.4018/979-8-3693-0363-4</t>
    <phoneticPr fontId="36" type="noConversion"/>
  </si>
  <si>
    <r>
      <t xml:space="preserve">H42 </t>
    </r>
    <r>
      <rPr>
        <sz val="10"/>
        <rFont val="新細明體"/>
        <family val="2"/>
        <charset val="136"/>
      </rPr>
      <t>管理二</t>
    </r>
    <r>
      <rPr>
        <sz val="10"/>
        <rFont val="Times New Roman"/>
        <family val="1"/>
      </rPr>
      <t>(</t>
    </r>
    <r>
      <rPr>
        <sz val="10"/>
        <rFont val="新細明體"/>
        <family val="2"/>
        <charset val="136"/>
      </rPr>
      <t>行銷、生管、資管、交管、作業研究</t>
    </r>
    <r>
      <rPr>
        <sz val="10"/>
        <rFont val="Times New Roman"/>
        <family val="1"/>
      </rPr>
      <t>/</t>
    </r>
    <r>
      <rPr>
        <sz val="10"/>
        <rFont val="新細明體"/>
        <family val="2"/>
        <charset val="136"/>
      </rPr>
      <t>數量方法</t>
    </r>
    <r>
      <rPr>
        <sz val="10"/>
        <rFont val="Times New Roman"/>
        <family val="1"/>
      </rPr>
      <t>)</t>
    </r>
  </si>
  <si>
    <t>Using Influencer Marketing as a Digital Business Strategy</t>
  </si>
  <si>
    <t>Teixeira, Sandrina</t>
  </si>
  <si>
    <t>http://services.igi-global.com/resolvedoi/resolve.aspx?doi=10.4018/979-8-3693-0551-5</t>
    <phoneticPr fontId="36" type="noConversion"/>
  </si>
  <si>
    <r>
      <t xml:space="preserve">H17 </t>
    </r>
    <r>
      <rPr>
        <sz val="10"/>
        <rFont val="新細明體"/>
        <family val="2"/>
        <charset val="136"/>
      </rPr>
      <t>社會學</t>
    </r>
  </si>
  <si>
    <t>AI and Emotions in Digital Society</t>
  </si>
  <si>
    <t>Scribano, Adrian</t>
  </si>
  <si>
    <t>http://services.igi-global.com/resolvedoi/resolve.aspx?doi=10.4018/979-8-3693-0802-8</t>
    <phoneticPr fontId="36" type="noConversion"/>
  </si>
  <si>
    <t>Handbook of Research on Innovative Approaches to Information Technology in Library and Information Science</t>
  </si>
  <si>
    <t>Holland, Barbara</t>
  </si>
  <si>
    <t>http://services.igi-global.com/resolvedoi/resolve.aspx?doi=10.4018/979-8-3693-0807-3</t>
    <phoneticPr fontId="36" type="noConversion"/>
  </si>
  <si>
    <t>Perspectives on Innovation and Technology Transfer in Managing Public Organizations</t>
  </si>
  <si>
    <t>Silva, Luan Carlos Santos</t>
  </si>
  <si>
    <t>http://services.igi-global.com/resolvedoi/resolve.aspx?doi=10.4018/978-1-6684-9833-0</t>
    <phoneticPr fontId="36" type="noConversion"/>
  </si>
  <si>
    <t>Mountain Tourism and Ecological Impacts: Himalayan Region and Beyond</t>
  </si>
  <si>
    <t>Biswas, Soumendra Nath</t>
  </si>
  <si>
    <t>http://services.igi-global.com/resolvedoi/resolve.aspx?doi=10.4018/979-8-3693-0823-3</t>
    <phoneticPr fontId="36" type="noConversion"/>
  </si>
  <si>
    <t>AI and Data Analytics Applications in Organizational Management</t>
  </si>
  <si>
    <t>Merlo, Tereza Raquel</t>
  </si>
  <si>
    <t>http://services.igi-global.com/resolvedoi/resolve.aspx?doi=10.4018/979-8-3693-1058-8</t>
    <phoneticPr fontId="36" type="noConversion"/>
  </si>
  <si>
    <t>AI and Machine Learning Impacts in Intelligent Supply Chain</t>
  </si>
  <si>
    <t>Pandey, Binay Kumar</t>
  </si>
  <si>
    <t>http://services.igi-global.com/resolvedoi/resolve.aspx?doi=10.4018/979-8-3693-1347-3</t>
    <phoneticPr fontId="36" type="noConversion"/>
  </si>
  <si>
    <t>Harnessing Technology for Knowledge Transfer in Accountancy, Auditing, and Finance</t>
  </si>
  <si>
    <t>Kwok, Samuel</t>
  </si>
  <si>
    <t>http://services.igi-global.com/resolvedoi/resolve.aspx?doi=10.4018/979-8-3693-1331-2</t>
    <phoneticPr fontId="36" type="noConversion"/>
  </si>
  <si>
    <t>Human Relations Management in Tourism</t>
  </si>
  <si>
    <t>Valeri, Marco</t>
  </si>
  <si>
    <t>http://services.igi-global.com/resolvedoi/resolve.aspx?doi=10.4018/979-8-3693-1322-0</t>
    <phoneticPr fontId="36" type="noConversion"/>
  </si>
  <si>
    <t>Contemporary Management and Global Leadership for Sustainability</t>
  </si>
  <si>
    <t>http://services.igi-global.com/resolvedoi/resolve.aspx?doi=10.4018/979-8-3693-1273-5</t>
    <phoneticPr fontId="36" type="noConversion"/>
  </si>
  <si>
    <t>Digital Capitalism in the New Media Era</t>
  </si>
  <si>
    <t>Topçu, Çiçek</t>
  </si>
  <si>
    <t>http://services.igi-global.com/resolvedoi/resolve.aspx?doi=10.4018/979-8-3693-1182-0</t>
    <phoneticPr fontId="36" type="noConversion"/>
  </si>
  <si>
    <t>Supporting Environmental Stability Through Ecotourism</t>
  </si>
  <si>
    <t>Abrar, Muhammad</t>
  </si>
  <si>
    <t>http://services.igi-global.com/resolvedoi/resolve.aspx?doi=10.4018/979-8-3693-1030-4</t>
    <phoneticPr fontId="36" type="noConversion"/>
  </si>
  <si>
    <t>Artificial Intelligence of Things (AIoT) for Productivity and Organizational Transition</t>
  </si>
  <si>
    <t>Rezaei, Sajad</t>
  </si>
  <si>
    <t>http://services.igi-global.com/resolvedoi/resolve.aspx?doi=10.4018/979-8-3693-0993-3</t>
    <phoneticPr fontId="36" type="noConversion"/>
  </si>
  <si>
    <t>The Role of Generative AI in the Communication Classroom</t>
  </si>
  <si>
    <t>Elmoudden, Sanae</t>
  </si>
  <si>
    <t>http://services.igi-global.com/resolvedoi/resolve.aspx?doi=10.4018/979-8-3693-0831-8</t>
    <phoneticPr fontId="36" type="noConversion"/>
  </si>
  <si>
    <t>Modern Early Childhood Teacher Education: Theories and Practice</t>
  </si>
  <si>
    <t>Badea, Mihaela</t>
  </si>
  <si>
    <t>http://services.igi-global.com/resolvedoi/resolve.aspx?doi=10.4018/979-8-3693-0956-8</t>
    <phoneticPr fontId="36" type="noConversion"/>
  </si>
  <si>
    <t>Unlocking Learning Potential With Universal Design in Online Learning Environments</t>
  </si>
  <si>
    <t>Bartlett, Michelle</t>
  </si>
  <si>
    <t>http://services.igi-global.com/resolvedoi/resolve.aspx?doi=10.4018/979-8-3693-1269-8</t>
    <phoneticPr fontId="36" type="noConversion"/>
  </si>
  <si>
    <t>Inquiries of Pedagogical Shifts and Critical Mindsets Among Educators</t>
  </si>
  <si>
    <t>Gierhart, Aaron R.</t>
  </si>
  <si>
    <t>http://services.igi-global.com/resolvedoi/resolve.aspx?doi=10.4018/979-8-3693-1078-6</t>
    <phoneticPr fontId="36" type="noConversion"/>
  </si>
  <si>
    <t>Exploring Global FinTech Advancement and Applications</t>
  </si>
  <si>
    <t>Taherdoost, Hamed</t>
  </si>
  <si>
    <t>http://services.igi-global.com/resolvedoi/resolve.aspx?doi=10.4018/979-8-3693-1561-3</t>
    <phoneticPr fontId="36" type="noConversion"/>
  </si>
  <si>
    <t>Preparing Students for the Future Educational Paradigm</t>
  </si>
  <si>
    <t>Husseiny, Fatima Al</t>
  </si>
  <si>
    <t>http://services.igi-global.com/resolvedoi/resolve.aspx?doi=10.4018/979-8-3693-1536-1</t>
    <phoneticPr fontId="36" type="noConversion"/>
  </si>
  <si>
    <t>Academic Integrity in the Age of Artificial Intelligence</t>
  </si>
  <si>
    <t>Mahmud, Saadia</t>
  </si>
  <si>
    <t>http://services.igi-global.com/resolvedoi/resolve.aspx?doi=10.4018/979-8-3693-0240-8</t>
    <phoneticPr fontId="36" type="noConversion"/>
  </si>
  <si>
    <t>Green Economy and Renewable Energy Transitions for Sustainable Development</t>
  </si>
  <si>
    <t>http://services.igi-global.com/resolvedoi/resolve.aspx?doi=10.4018/979-8-3693-1297-1</t>
    <phoneticPr fontId="36" type="noConversion"/>
  </si>
  <si>
    <t>Fostering Pedagogical Innovation Through Effective Instructional Design</t>
  </si>
  <si>
    <t>Khaldi, Mohamed</t>
  </si>
  <si>
    <t>http://services.igi-global.com/resolvedoi/resolve.aspx?doi=10.4018/979-8-3693-1206-3</t>
    <phoneticPr fontId="36" type="noConversion"/>
  </si>
  <si>
    <t>Supporting Activist Practices in Education</t>
  </si>
  <si>
    <t>Ramsay-Jordan, Natasha N.</t>
  </si>
  <si>
    <t>http://services.igi-global.com/resolvedoi/resolve.aspx?doi=10.4018/979-8-3693-0537-9</t>
    <phoneticPr fontId="36" type="noConversion"/>
  </si>
  <si>
    <t>Humanizing Online Teaching and Learning in Higher Education</t>
  </si>
  <si>
    <t>Gray, Laura E.</t>
  </si>
  <si>
    <t>http://services.igi-global.com/resolvedoi/resolve.aspx?doi=10.4018/979-8-3693-0762-5</t>
    <phoneticPr fontId="36" type="noConversion"/>
  </si>
  <si>
    <t>AI in Language Teaching, Learning, and Assessment</t>
  </si>
  <si>
    <t>Pan, Fang</t>
  </si>
  <si>
    <t>http://services.igi-global.com/resolvedoi/resolve.aspx?doi=10.4018/979-8-3693-0872-1</t>
    <phoneticPr fontId="36" type="noConversion"/>
  </si>
  <si>
    <t>Transforming Education With Generative AI: Prompt Engineering and Synthetic Content Creation</t>
  </si>
  <si>
    <t>http://services.igi-global.com/resolvedoi/resolve.aspx?doi=10.4018/979-8-3693-1351-0</t>
    <phoneticPr fontId="36" type="noConversion"/>
  </si>
  <si>
    <t>Using Machine Learning to Detect Emotions and Predict Human Psychology</t>
  </si>
  <si>
    <t>Rai, Mritunjay</t>
  </si>
  <si>
    <t>http://services.igi-global.com/resolvedoi/resolve.aspx?doi=10.4018/979-8-3693-1910-9</t>
    <phoneticPr fontId="36" type="noConversion"/>
  </si>
  <si>
    <t>Digital Twin Technology and AI Implementations in Future-Focused Businesses</t>
  </si>
  <si>
    <t>Ponnusamy, Sivaram</t>
  </si>
  <si>
    <t>http://services.igi-global.com/resolvedoi/resolve.aspx?doi=10.4018/979-8-3693-1818-8</t>
    <phoneticPr fontId="36" type="noConversion"/>
  </si>
  <si>
    <t>Utilizing Smart Technology and AI in Hybrid Tourism and Hospitality</t>
  </si>
  <si>
    <t>Kumar, Sanjeev</t>
  </si>
  <si>
    <t>http://services.igi-global.com/resolvedoi/resolve.aspx?doi=10.4018/979-8-3693-1978-9</t>
    <phoneticPr fontId="36" type="noConversion"/>
  </si>
  <si>
    <t>Algorithmic Approaches to Financial Technology: Forecasting, Trading, and Optimization</t>
  </si>
  <si>
    <t>http://services.igi-global.com/resolvedoi/resolve.aspx?doi=10.4018/979-8-3693-1746-4</t>
    <phoneticPr fontId="36" type="noConversion"/>
  </si>
  <si>
    <t>Service Innovations in Tourism: Metaverse, Immersive Technologies, and Digital Twin</t>
  </si>
  <si>
    <t>http://services.igi-global.com/resolvedoi/resolve.aspx?doi=10.4018/979-8-3693-1103-5</t>
    <phoneticPr fontId="36" type="noConversion"/>
  </si>
  <si>
    <t>Transforming Education for Personalized Learning</t>
  </si>
  <si>
    <t>Munna, Afzal Sayed</t>
  </si>
  <si>
    <t>http://services.igi-global.com/resolvedoi/resolve.aspx?doi=10.4018/979-8-3693-0868-4</t>
    <phoneticPr fontId="36" type="noConversion"/>
  </si>
  <si>
    <t>Strengthening Industrial Cybersecurity to Protect Business Intelligence</t>
  </si>
  <si>
    <t>http://services.igi-global.com/resolvedoi/resolve.aspx?doi=10.4018/979-8-3693-0839-4</t>
    <phoneticPr fontId="36" type="noConversion"/>
  </si>
  <si>
    <t>Challenges of Globalization and Inclusivity in Academic Research</t>
  </si>
  <si>
    <t>http://services.igi-global.com/resolvedoi/resolve.aspx?doi=10.4018/979-8-3693-1371-8</t>
    <phoneticPr fontId="36" type="noConversion"/>
  </si>
  <si>
    <t>Promoting Sustainable Gastronomy Tourism and Community Development</t>
  </si>
  <si>
    <t>Ruiz, Andrea Edurne Jimenez</t>
  </si>
  <si>
    <t>http://services.igi-global.com/resolvedoi/resolve.aspx?doi=10.4018/979-8-3693-1814-0</t>
    <phoneticPr fontId="36" type="noConversion"/>
  </si>
  <si>
    <t>Utilizing AI and Smart Technology to Improve Sustainability in Entrepreneurship</t>
  </si>
  <si>
    <t>Hossain, Syed Far Abid</t>
  </si>
  <si>
    <t>http://services.igi-global.com/resolvedoi/resolve.aspx?doi=10.4018/979-8-3693-1842-3</t>
    <phoneticPr fontId="36" type="noConversion"/>
  </si>
  <si>
    <t>Impact of AI and Robotics on the Medical Tourism Industry</t>
  </si>
  <si>
    <t>Hassan, Viana</t>
  </si>
  <si>
    <t>http://services.igi-global.com/resolvedoi/resolve.aspx?doi=10.4018/979-8-3693-2248-2</t>
    <phoneticPr fontId="36" type="noConversion"/>
  </si>
  <si>
    <t>Recent Developments in Financial Management and Economics</t>
  </si>
  <si>
    <t>http://services.igi-global.com/resolvedoi/resolve.aspx?doi=10.4018/979-8-3693-2683-1</t>
    <phoneticPr fontId="36" type="noConversion"/>
  </si>
  <si>
    <t>Impact of Climate Change on Mental Health and Well-Being</t>
  </si>
  <si>
    <t>Samanta, Debabrata</t>
  </si>
  <si>
    <t>http://services.igi-global.com/resolvedoi/resolve.aspx?doi=10.4018/979-8-3693-2177-5</t>
    <phoneticPr fontId="36" type="noConversion"/>
  </si>
  <si>
    <t>AI Impacts in Digital Consumer Behavior</t>
  </si>
  <si>
    <t>http://services.igi-global.com/resolvedoi/resolve.aspx?doi=10.4018/979-8-3693-1918-5</t>
    <phoneticPr fontId="36" type="noConversion"/>
  </si>
  <si>
    <r>
      <t xml:space="preserve">B101008 </t>
    </r>
    <r>
      <rPr>
        <sz val="10"/>
        <rFont val="新細明體"/>
        <family val="2"/>
        <charset val="136"/>
      </rPr>
      <t>保健營養</t>
    </r>
  </si>
  <si>
    <t>Noninvasive Ventilation Technologies and Healthcare for Geriatric Patients</t>
  </si>
  <si>
    <t>http://services.igi-global.com/resolvedoi/resolve.aspx?doi=10.4018/978-1-7998-3531-8</t>
    <phoneticPr fontId="36" type="noConversion"/>
  </si>
  <si>
    <r>
      <t xml:space="preserve">B101010 </t>
    </r>
    <r>
      <rPr>
        <sz val="10"/>
        <rFont val="新細明體"/>
        <family val="2"/>
        <charset val="136"/>
      </rPr>
      <t>醫學工程</t>
    </r>
  </si>
  <si>
    <t>AI Innovation in Medical Imaging Diagnostics</t>
  </si>
  <si>
    <t>Anbarasan, Kalaivani</t>
  </si>
  <si>
    <t>http://services.igi-global.com/resolvedoi/resolve.aspx?doi=10.4018/978-1-7998-3092-4</t>
    <phoneticPr fontId="36" type="noConversion"/>
  </si>
  <si>
    <r>
      <t xml:space="preserve">B1020DA </t>
    </r>
    <r>
      <rPr>
        <sz val="10"/>
        <rFont val="新細明體"/>
        <family val="2"/>
        <charset val="136"/>
      </rPr>
      <t>護理</t>
    </r>
  </si>
  <si>
    <t>Integrated Care and Fall Prevention in Active and Healthy Aging</t>
  </si>
  <si>
    <t>Eklund, Patrik</t>
  </si>
  <si>
    <t>http://services.igi-global.com/resolvedoi/resolve.aspx?doi=10.4018/978-1-7998-4411-2</t>
    <phoneticPr fontId="36" type="noConversion"/>
  </si>
  <si>
    <t>Assistive Technologies for Assessment and Recovery of Neurological Impairments</t>
  </si>
  <si>
    <t>Stasolla, Fabrizio</t>
  </si>
  <si>
    <t>http://services.igi-global.com/resolvedoi/resolve.aspx?doi=10.4018/978-1-7998-7430-0</t>
    <phoneticPr fontId="36" type="noConversion"/>
  </si>
  <si>
    <t>AI-Enabled Multiple-Criteria Decision-Making Approaches for Healthcare Management</t>
  </si>
  <si>
    <t>http://services.igi-global.com/resolvedoi/resolve.aspx?doi=10.4018/978-1-6684-4405-4</t>
    <phoneticPr fontId="36" type="noConversion"/>
  </si>
  <si>
    <t>Cognitive Cardiac Rehabilitation Using IoT and AI Tools</t>
  </si>
  <si>
    <t>Bhowmick, Parijat</t>
  </si>
  <si>
    <t>http://services.igi-global.com/resolvedoi/resolve.aspx?doi=10.4018/978-1-6684-7561-4</t>
    <phoneticPr fontId="36" type="noConversion"/>
  </si>
  <si>
    <r>
      <t xml:space="preserve">B1020A9 </t>
    </r>
    <r>
      <rPr>
        <sz val="10"/>
        <rFont val="新細明體"/>
        <family val="2"/>
        <charset val="136"/>
      </rPr>
      <t>神經內科</t>
    </r>
  </si>
  <si>
    <t>Experimental and Clinical Evidence of the Neuropathology of Parkinson's Disease</t>
  </si>
  <si>
    <t>Draoui, Ahmed</t>
  </si>
  <si>
    <t>http://services.igi-global.com/resolvedoi/resolve.aspx?doi=10.4018/978-1-6684-5156-4</t>
    <phoneticPr fontId="36" type="noConversion"/>
  </si>
  <si>
    <r>
      <t xml:space="preserve">B1030B0 </t>
    </r>
    <r>
      <rPr>
        <sz val="10"/>
        <rFont val="新細明體"/>
        <family val="2"/>
        <charset val="136"/>
      </rPr>
      <t>中醫藥</t>
    </r>
  </si>
  <si>
    <t>Natural Products as Cancer Therapeutics</t>
  </si>
  <si>
    <t>Radhakrishnan, Narayanaswamy</t>
  </si>
  <si>
    <t>http://services.igi-global.com/resolvedoi/resolve.aspx?doi=10.4018/979-8-3693-0703-8</t>
    <phoneticPr fontId="36" type="noConversion"/>
  </si>
  <si>
    <t>AI and IoT-Based Technologies for Precision Medicine</t>
  </si>
  <si>
    <t>Khang, Alex</t>
  </si>
  <si>
    <t>http://services.igi-global.com/resolvedoi/resolve.aspx?doi=10.4018/979-8-3693-0876-9</t>
    <phoneticPr fontId="36" type="noConversion"/>
  </si>
  <si>
    <t>AI-Based Digital Health Communication for Securing Assistive Systems</t>
  </si>
  <si>
    <t>Thayananthan, Vijeyananthan</t>
  </si>
  <si>
    <t>http://services.igi-global.com/resolvedoi/resolve.aspx?doi=10.4018/978-1-6684-8938-3</t>
    <phoneticPr fontId="36" type="noConversion"/>
  </si>
  <si>
    <r>
      <t xml:space="preserve">B1020B2 </t>
    </r>
    <r>
      <rPr>
        <sz val="10"/>
        <rFont val="新細明體"/>
        <family val="2"/>
        <charset val="136"/>
      </rPr>
      <t>精神科</t>
    </r>
  </si>
  <si>
    <t>Handbook of Research on Child and Adolescent Psychology Practices and Interventions</t>
  </si>
  <si>
    <t>http://services.igi-global.com/resolvedoi/resolve.aspx?doi=10.4018/978-1-6684-9983-2</t>
    <phoneticPr fontId="36" type="noConversion"/>
  </si>
  <si>
    <t>Pioneering Smart Healthcare 5.0 with IoT, Federated Learning, and Cloud Security</t>
  </si>
  <si>
    <t>http://services.igi-global.com/resolvedoi/resolve.aspx?doi=10.4018/979-8-3693-2639-8</t>
    <phoneticPr fontId="36" type="noConversion"/>
  </si>
  <si>
    <t>Handbook of Research on Advances in Digital Technologies to Promote Rehabilitation and Community Participation</t>
  </si>
  <si>
    <t>Almeida, Raquel Simões de</t>
  </si>
  <si>
    <t>http://services.igi-global.com/resolvedoi/resolve.aspx?doi=10.4018/978-1-6684-9251-2</t>
    <phoneticPr fontId="36" type="noConversion"/>
  </si>
  <si>
    <t>Federated Learning and AI for Healthcare 5.0</t>
  </si>
  <si>
    <t>http://services.igi-global.com/resolvedoi/resolve.aspx?doi=10.4018/979-8-3693-1082-3</t>
    <phoneticPr fontId="36" type="noConversion"/>
  </si>
  <si>
    <t>Intelligent Solutions for Cognitive Disorders</t>
  </si>
  <si>
    <t>Jadhav, Dipti</t>
  </si>
  <si>
    <t>http://services.igi-global.com/resolvedoi/resolve.aspx?doi=10.4018/979-8-3693-1090-8</t>
    <phoneticPr fontId="36" type="noConversion"/>
  </si>
  <si>
    <t>Intelligent Technologies and Parkinson's Disease: Prediction and Diagnosis</t>
  </si>
  <si>
    <t>Kumar, Abhishek</t>
  </si>
  <si>
    <t>http://services.igi-global.com/resolvedoi/resolve.aspx?doi=10.4018/979-8-3693-1115-8</t>
    <phoneticPr fontId="36" type="noConversion"/>
  </si>
  <si>
    <t>Deep Learning Approaches for Early Diagnosis of Neurodegenerative Diseases</t>
  </si>
  <si>
    <t>Rodriguez, Raul Villamarin</t>
  </si>
  <si>
    <t>http://services.igi-global.com/resolvedoi/resolve.aspx?doi=10.4018/979-8-3693-1281-0</t>
    <phoneticPr fontId="36" type="noConversion"/>
  </si>
  <si>
    <t>Quantum Innovations at the Nexus of Biomedical Intelligence</t>
  </si>
  <si>
    <t>Dutt, Vishal</t>
  </si>
  <si>
    <t>http://services.igi-global.com/resolvedoi/resolve.aspx?doi=10.4018/979-8-3693-1479-1</t>
    <phoneticPr fontId="36" type="noConversion"/>
  </si>
  <si>
    <t>Applying Machine Learning Techniques to Bioinformatics: Few-Shot and Zero-Shot Methods</t>
  </si>
  <si>
    <t>Lilhore, Umesh Kumar</t>
  </si>
  <si>
    <t>http://services.igi-global.com/resolvedoi/resolve.aspx?doi=10.4018/979-8-3693-1822-5</t>
    <phoneticPr fontId="36" type="noConversion"/>
  </si>
  <si>
    <r>
      <t xml:space="preserve">B101003 </t>
    </r>
    <r>
      <rPr>
        <sz val="10"/>
        <rFont val="新細明體"/>
        <family val="2"/>
        <charset val="136"/>
      </rPr>
      <t>藥理及毒理</t>
    </r>
  </si>
  <si>
    <t>Harnessing Medicinal Plants in Cancer Prevention and Treatment</t>
  </si>
  <si>
    <t>Roy, Arpita</t>
  </si>
  <si>
    <t>http://services.igi-global.com/resolvedoi/resolve.aspx?doi=10.4018/979-8-3693-1646-7</t>
    <phoneticPr fontId="36" type="noConversion"/>
  </si>
  <si>
    <t>Biomedical Research Developments for Improved Healthcare</t>
  </si>
  <si>
    <t>Prabhakar, Pranav Kumar</t>
  </si>
  <si>
    <t>http://services.igi-global.com/resolvedoi/resolve.aspx?doi=10.4018/979-8-3693-1922-2</t>
    <phoneticPr fontId="36" type="noConversion"/>
  </si>
  <si>
    <t>Approaches to Human-Centered AI in Healthcare</t>
  </si>
  <si>
    <t>Grover, Veena</t>
  </si>
  <si>
    <t>http://services.igi-global.com/resolvedoi/resolve.aspx?doi=10.4018/979-8-3693-2238-3</t>
    <phoneticPr fontId="36" type="noConversion"/>
  </si>
  <si>
    <t>Medical Robotics and AI-Assisted Diagnostics for a High-Tech Healthcare Industry</t>
  </si>
  <si>
    <t>http://services.igi-global.com/resolvedoi/resolve.aspx?doi=10.4018/979-8-3693-2105-8</t>
    <phoneticPr fontId="36" type="noConversion"/>
  </si>
  <si>
    <t>Future of AI in Medical Imaging</t>
  </si>
  <si>
    <t>Sharma, Avinash Kumar</t>
  </si>
  <si>
    <t>http://services.igi-global.com/resolvedoi/resolve.aspx?doi=10.4018/979-8-3693-2359-5</t>
    <phoneticPr fontId="36" type="noConversion"/>
  </si>
  <si>
    <t>Improving Security, Privacy, and Connectivity Among Telemedicine Platforms</t>
  </si>
  <si>
    <t>Geada, Nuno</t>
  </si>
  <si>
    <t>http://services.igi-global.com/resolvedoi/resolve.aspx?doi=10.4018/979-8-3693-2141-6</t>
    <phoneticPr fontId="36" type="noConversion"/>
  </si>
  <si>
    <r>
      <t xml:space="preserve">M20 </t>
    </r>
    <r>
      <rPr>
        <sz val="10"/>
        <rFont val="新細明體"/>
        <family val="2"/>
        <charset val="136"/>
      </rPr>
      <t>永續發展研究</t>
    </r>
  </si>
  <si>
    <t>Impacts of Violent Conflicts on Resource Control and Sustainability</t>
  </si>
  <si>
    <t>http://services.igi-global.com/resolvedoi/resolve.aspx?doi=10.4018/978-1-5225-5987-0</t>
    <phoneticPr fontId="36" type="noConversion"/>
  </si>
  <si>
    <r>
      <t xml:space="preserve">E08 </t>
    </r>
    <r>
      <rPr>
        <sz val="10"/>
        <rFont val="新細明體"/>
        <family val="2"/>
        <charset val="136"/>
      </rPr>
      <t>資訊</t>
    </r>
  </si>
  <si>
    <t>Handbook of Research on New Investigations in Artificial Life, AI, and Machine Learning</t>
  </si>
  <si>
    <t>http://services.igi-global.com/resolvedoi/resolve.aspx?doi=10.4018/978-1-7998-8686-0</t>
    <phoneticPr fontId="36" type="noConversion"/>
  </si>
  <si>
    <t>Advanced Practical Approaches to Web Mining Techniques and Application</t>
  </si>
  <si>
    <t>Obaid, Ahmed J.</t>
  </si>
  <si>
    <t>http://services.igi-global.com/resolvedoi/resolve.aspx?doi=10.4018/978-1-7998-9426-1</t>
    <phoneticPr fontId="36" type="noConversion"/>
  </si>
  <si>
    <t>Advancements in Quantum Blockchain With Real-Time Applications</t>
  </si>
  <si>
    <t>Shrivas, Mahendra Kumar</t>
  </si>
  <si>
    <t>http://services.igi-global.com/resolvedoi/resolve.aspx?doi=10.4018/978-1-6684-5072-7</t>
    <phoneticPr fontId="36" type="noConversion"/>
  </si>
  <si>
    <r>
      <t xml:space="preserve">E09 </t>
    </r>
    <r>
      <rPr>
        <sz val="10"/>
        <rFont val="新細明體"/>
        <family val="2"/>
        <charset val="136"/>
      </rPr>
      <t>土木、水利、工程</t>
    </r>
  </si>
  <si>
    <t>Urban Life and the Ambient in Smart Cities, Learning Cities, and Future Cities</t>
  </si>
  <si>
    <t>http://services.igi-global.com/resolvedoi/resolve.aspx?doi=10.4018/978-1-6684-4096-4</t>
    <phoneticPr fontId="36" type="noConversion"/>
  </si>
  <si>
    <t>Advanced Machine Learning Algorithms for Complex Financial Applications</t>
  </si>
  <si>
    <t>Irfan, Mohammad</t>
  </si>
  <si>
    <t>http://services.igi-global.com/resolvedoi/resolve.aspx?doi=10.4018/978-1-6684-4483-2</t>
    <phoneticPr fontId="36" type="noConversion"/>
  </si>
  <si>
    <r>
      <t xml:space="preserve">E18 </t>
    </r>
    <r>
      <rPr>
        <sz val="10"/>
        <rFont val="新細明體"/>
        <family val="2"/>
        <charset val="136"/>
      </rPr>
      <t>電力工程</t>
    </r>
  </si>
  <si>
    <t>AI Techniques for Renewable Source Integration and Battery Charging Methods in Electric Vehicle Applications</t>
  </si>
  <si>
    <t>http://services.igi-global.com/resolvedoi/resolve.aspx?doi=10.4018/978-1-6684-8816-4</t>
    <phoneticPr fontId="36" type="noConversion"/>
  </si>
  <si>
    <t>Impact of Digital Twins in Smart Cities Development</t>
  </si>
  <si>
    <t>http://services.igi-global.com/resolvedoi/resolve.aspx?doi=10.4018/978-1-6684-3833-6</t>
    <phoneticPr fontId="36" type="noConversion"/>
  </si>
  <si>
    <r>
      <t xml:space="preserve">E11 </t>
    </r>
    <r>
      <rPr>
        <sz val="10"/>
        <rFont val="新細明體"/>
        <family val="2"/>
        <charset val="136"/>
      </rPr>
      <t>環境工程</t>
    </r>
  </si>
  <si>
    <t>Multidisciplinary Approaches in AI, Creativity, Innovation, and Green Collaboration</t>
  </si>
  <si>
    <t>http://services.igi-global.com/resolvedoi/resolve.aspx?doi=10.4018/978-1-6684-6366-6</t>
    <phoneticPr fontId="36" type="noConversion"/>
  </si>
  <si>
    <t>Handbook of Research on Deep Learning Techniques for Cloud-Based Industrial IoT</t>
  </si>
  <si>
    <t>http://services.igi-global.com/resolvedoi/resolve.aspx?doi=10.4018/978-1-6684-8098-4</t>
    <phoneticPr fontId="36" type="noConversion"/>
  </si>
  <si>
    <t>5G, Artificial Intelligence, and Next Generation Internet of Things: Digital Innovation for Green and Sustainable Economies</t>
  </si>
  <si>
    <t>de Pablos, Patricia Ordóñez</t>
  </si>
  <si>
    <t>http://services.igi-global.com/resolvedoi/resolve.aspx?doi=10.4018/978-1-6684-8634-4</t>
    <phoneticPr fontId="36" type="noConversion"/>
  </si>
  <si>
    <t>Intelligent Engineering Applications and Applied Sciences for Sustainability</t>
  </si>
  <si>
    <t>http://services.igi-global.com/resolvedoi/resolve.aspx?doi=10.4018/979-8-3693-0044-2</t>
    <phoneticPr fontId="36" type="noConversion"/>
  </si>
  <si>
    <t>Handbook of Research on Advancements in AI and IoT Convergence Technologies</t>
  </si>
  <si>
    <t>http://services.igi-global.com/resolvedoi/resolve.aspx?doi=10.4018/978-1-6684-6971-2</t>
    <phoneticPr fontId="36" type="noConversion"/>
  </si>
  <si>
    <t>Advances in Artificial and Human Intelligence in the Modern Era</t>
  </si>
  <si>
    <t>Rajest, S. Suman</t>
  </si>
  <si>
    <t>http://services.igi-global.com/resolvedoi/resolve.aspx?doi=10.4018/979-8-3693-1301-5</t>
    <phoneticPr fontId="36" type="noConversion"/>
  </si>
  <si>
    <t>Advanced Interdisciplinary Applications of Machine Learning Python Libraries for Data Science</t>
  </si>
  <si>
    <t>Biju, Soly Mathew</t>
  </si>
  <si>
    <t>http://services.igi-global.com/resolvedoi/resolve.aspx?doi=10.4018/978-1-6684-8696-2</t>
    <phoneticPr fontId="36" type="noConversion"/>
  </si>
  <si>
    <t>Fostering Cross-Industry Sustainability With Intelligent Technologies</t>
  </si>
  <si>
    <t>http://services.igi-global.com/resolvedoi/resolve.aspx?doi=10.4018/979-8-3693-1638-2</t>
    <phoneticPr fontId="36" type="noConversion"/>
  </si>
  <si>
    <t>Achieving the Sustainable Development Goals Through Infrastructure Development</t>
  </si>
  <si>
    <t>http://services.igi-global.com/resolvedoi/resolve.aspx?doi=10.4018/979-8-3693-0794-6</t>
    <phoneticPr fontId="36" type="noConversion"/>
  </si>
  <si>
    <t>Global Perspectives on Climate Change, Social Resilience, and Social Inclusion</t>
  </si>
  <si>
    <t>Galaby, Aly Abdel Razek</t>
    <phoneticPr fontId="45" type="noConversion"/>
  </si>
  <si>
    <t>http://services.igi-global.com/resolvedoi/resolve.aspx?doi=10.4018/978-1-6684-8963-5</t>
    <phoneticPr fontId="36" type="noConversion"/>
  </si>
  <si>
    <t>Artificial Intelligence in the Age of Nanotechnology</t>
  </si>
  <si>
    <t>Jaber, Wassim</t>
  </si>
  <si>
    <t>http://services.igi-global.com/resolvedoi/resolve.aspx?doi=10.4018/979-8-3693-0368-9</t>
    <phoneticPr fontId="36" type="noConversion"/>
  </si>
  <si>
    <r>
      <t xml:space="preserve">E06 </t>
    </r>
    <r>
      <rPr>
        <sz val="10"/>
        <rFont val="新細明體"/>
        <family val="2"/>
        <charset val="136"/>
      </rPr>
      <t>材料工程</t>
    </r>
  </si>
  <si>
    <t>Cutting-Edge Applications of Nanomaterials in Biomedical Sciences</t>
  </si>
  <si>
    <t>http://services.igi-global.com/resolvedoi/resolve.aspx?doi=10.4018/979-8-3693-0448-8</t>
    <phoneticPr fontId="36" type="noConversion"/>
  </si>
  <si>
    <t>Advances in Explainable AI Applications for Smart Cities</t>
  </si>
  <si>
    <t>Ghonge, Mangesh M.</t>
  </si>
  <si>
    <t>http://services.igi-global.com/resolvedoi/resolve.aspx?doi=10.4018/978-1-6684-6361-1</t>
    <phoneticPr fontId="36" type="noConversion"/>
  </si>
  <si>
    <t>Advancements in Powder Metallurgy: Processing, Applications, and Properties</t>
  </si>
  <si>
    <t>Rajendrachari, Shashanka</t>
  </si>
  <si>
    <t>http://services.igi-global.com/resolvedoi/resolve.aspx?doi=10.4018/978-1-6684-9385-4</t>
    <phoneticPr fontId="36" type="noConversion"/>
  </si>
  <si>
    <t>Quality of Life and Climate Change: Impacts, Sustainable Adaptation, and Social-Ecological Resilience</t>
  </si>
  <si>
    <t>Shukla, Kasturi</t>
  </si>
  <si>
    <t>http://services.igi-global.com/resolvedoi/resolve.aspx?doi=10.4018/978-1-6684-9863-7</t>
    <phoneticPr fontId="36" type="noConversion"/>
  </si>
  <si>
    <r>
      <t xml:space="preserve">M05 </t>
    </r>
    <r>
      <rPr>
        <sz val="10"/>
        <rFont val="新細明體"/>
        <family val="2"/>
        <charset val="136"/>
      </rPr>
      <t>地球科學</t>
    </r>
  </si>
  <si>
    <t>Water-Soil-Plant-Animal Nexus in the Era of Climate Change</t>
  </si>
  <si>
    <t>http://services.igi-global.com/resolvedoi/resolve.aspx?doi=10.4018/978-1-6684-9838-5</t>
    <phoneticPr fontId="36" type="noConversion"/>
  </si>
  <si>
    <t>Sustainable Development in AI, Blockchain, and E-Governance Applications</t>
  </si>
  <si>
    <t>http://services.igi-global.com/resolvedoi/resolve.aspx?doi=10.4018/979-8-3693-1722-8</t>
    <phoneticPr fontId="36" type="noConversion"/>
  </si>
  <si>
    <t>Innovations in Machine Learning and IoT for Water Management</t>
  </si>
  <si>
    <t>http://services.igi-global.com/resolvedoi/resolve.aspx?doi=10.4018/979-8-3693-1194-3</t>
    <phoneticPr fontId="36" type="noConversion"/>
  </si>
  <si>
    <t>Handbook of Research on AI and ML for Intelligent Machines and Systems</t>
  </si>
  <si>
    <t>http://services.igi-global.com/resolvedoi/resolve.aspx?doi=10.4018/978-1-6684-9999-3</t>
    <phoneticPr fontId="36" type="noConversion"/>
  </si>
  <si>
    <t>Impact of AI on Advancing Women's Safety</t>
  </si>
  <si>
    <t>http://services.igi-global.com/resolvedoi/resolve.aspx?doi=10.4018/979-8-3693-2679-4</t>
    <phoneticPr fontId="36" type="noConversion"/>
  </si>
  <si>
    <t>Considerations on Cyber Behavior and Mass Technology in Modern Society</t>
  </si>
  <si>
    <t>Beneventi, Paolo</t>
  </si>
  <si>
    <t>http://services.igi-global.com/resolvedoi/resolve.aspx?doi=10.4018/978-1-6684-8228-5</t>
    <phoneticPr fontId="36" type="noConversion"/>
  </si>
  <si>
    <t>Operational Research for Renewable Energy and Sustainable Environments</t>
  </si>
  <si>
    <t>Thomas, Joshua</t>
  </si>
  <si>
    <t>http://services.igi-global.com/resolvedoi/resolve.aspx?doi=10.4018/978-1-6684-9130-0</t>
    <phoneticPr fontId="36" type="noConversion"/>
  </si>
  <si>
    <t>Enhancing Performance, Efficiency, and Security Through Complex Systems Control</t>
  </si>
  <si>
    <t>Chana, Idriss</t>
  </si>
  <si>
    <t>http://services.igi-global.com/resolvedoi/resolve.aspx?doi=10.4018/979-8-3693-0497-6</t>
    <phoneticPr fontId="36" type="noConversion"/>
  </si>
  <si>
    <t>Advanced Applications of Generative AI and Natural Language Processing Models</t>
  </si>
  <si>
    <t>http://services.igi-global.com/resolvedoi/resolve.aspx?doi=10.4018/979-8-3693-0502-7</t>
    <phoneticPr fontId="36" type="noConversion"/>
  </si>
  <si>
    <t>AI and Blockchain Applications in Industrial Robotics</t>
  </si>
  <si>
    <t>Lazarescu, Mihai</t>
  </si>
  <si>
    <t>http://services.igi-global.com/resolvedoi/resolve.aspx?doi=10.4018/979-8-3693-0659-8</t>
    <phoneticPr fontId="36" type="noConversion"/>
  </si>
  <si>
    <t>Analyzing Energy Crises and the Impact of Country Policies on the World</t>
  </si>
  <si>
    <t>Ozcan, Merve Suna Ozel</t>
  </si>
  <si>
    <t>http://services.igi-global.com/resolvedoi/resolve.aspx?doi=10.4018/979-8-3693-0440-2</t>
    <phoneticPr fontId="36" type="noConversion"/>
  </si>
  <si>
    <t>Cybersecurity Measures for Logistics Industry Framework</t>
  </si>
  <si>
    <t>Jhanjhi, Noor Zaman</t>
  </si>
  <si>
    <t>http://services.igi-global.com/resolvedoi/resolve.aspx?doi=10.4018/978-1-6684-7625-3</t>
    <phoneticPr fontId="36" type="noConversion"/>
  </si>
  <si>
    <t>AI Tools and Applications for Women's Safety</t>
  </si>
  <si>
    <t>http://services.igi-global.com/resolvedoi/resolve.aspx?doi=10.4018/979-8-3693-1435-7</t>
    <phoneticPr fontId="36" type="noConversion"/>
  </si>
  <si>
    <t>Cybersecurity Issues and Challenges in the Drone Industry</t>
  </si>
  <si>
    <t>Shah, Imdad Ali</t>
  </si>
  <si>
    <t>http://services.igi-global.com/resolvedoi/resolve.aspx?doi=10.4018/979-8-3693-0774-8</t>
    <phoneticPr fontId="36" type="noConversion"/>
  </si>
  <si>
    <t>AIoT and Smart Sensing Technologies for Smart Devices</t>
  </si>
  <si>
    <t>Al-Turjman, Fadi</t>
  </si>
  <si>
    <t>http://services.igi-global.com/resolvedoi/resolve.aspx?doi=10.4018/979-8-3693-0786-1</t>
    <phoneticPr fontId="36" type="noConversion"/>
  </si>
  <si>
    <t>Exploring Ethical Dimensions of Environmental Sustainability and Use of AI</t>
  </si>
  <si>
    <t>Kannan, Hemachandran</t>
  </si>
  <si>
    <t>http://services.igi-global.com/resolvedoi/resolve.aspx?doi=10.4018/979-8-3693-0892-9</t>
    <phoneticPr fontId="36" type="noConversion"/>
  </si>
  <si>
    <t>Applications of Machine Learning in UAV Networks</t>
  </si>
  <si>
    <t>Hassan, Jahan</t>
  </si>
  <si>
    <t>http://services.igi-global.com/resolvedoi/resolve.aspx?doi=10.4018/979-8-3693-0578-2</t>
    <phoneticPr fontId="36" type="noConversion"/>
  </si>
  <si>
    <t>Improving Security, Privacy, and Trust in Cloud Computing</t>
  </si>
  <si>
    <t>Goel, Pawan Kumar</t>
  </si>
  <si>
    <t>http://services.igi-global.com/resolvedoi/resolve.aspx?doi=10.4018/979-8-3693-1431-9</t>
    <phoneticPr fontId="36" type="noConversion"/>
  </si>
  <si>
    <t>Next Generation Materials for Sustainable Engineering</t>
  </si>
  <si>
    <t>Kulkarni, Shrikaant</t>
  </si>
  <si>
    <t>http://services.igi-global.com/resolvedoi/resolve.aspx?doi=10.4018/979-8-3693-1306-0</t>
    <phoneticPr fontId="36" type="noConversion"/>
  </si>
  <si>
    <t>Applications and Principles of Quantum Computing</t>
  </si>
  <si>
    <t>http://services.igi-global.com/resolvedoi/resolve.aspx?doi=10.4018/979-8-3693-1168-4</t>
    <phoneticPr fontId="36" type="noConversion"/>
  </si>
  <si>
    <t>Deep Learning, Reinforcement Learning, and the Rise of Intelligent Systems</t>
  </si>
  <si>
    <t>Uddin, M. Irfan</t>
  </si>
  <si>
    <t>http://services.igi-global.com/resolvedoi/resolve.aspx?doi=10.4018/979-8-3693-1738-9</t>
    <phoneticPr fontId="36" type="noConversion"/>
  </si>
  <si>
    <t>Sustainable Solutions for E-Waste and Development</t>
  </si>
  <si>
    <t>V, Rajesh Kumar K</t>
  </si>
  <si>
    <t>http://services.igi-global.com/resolvedoi/resolve.aspx?doi=10.4018/979-8-3693-1018-2</t>
    <phoneticPr fontId="36" type="noConversion"/>
  </si>
  <si>
    <t>Technological Advancements in Data Processing for Next Generation Intelligent Systems</t>
  </si>
  <si>
    <t>Sharma, Shanu</t>
  </si>
  <si>
    <t>http://services.igi-global.com/resolvedoi/resolve.aspx?doi=10.4018/979-8-3693-0968-1</t>
    <phoneticPr fontId="36" type="noConversion"/>
  </si>
  <si>
    <t>Industrial Applications of Big Data, AI, and Blockchain</t>
  </si>
  <si>
    <t>Samad, Mahmoud El</t>
  </si>
  <si>
    <t>http://services.igi-global.com/resolvedoi/resolve.aspx?doi=10.4018/979-8-3693-1046-5</t>
    <phoneticPr fontId="36" type="noConversion"/>
  </si>
  <si>
    <r>
      <t xml:space="preserve">E71 </t>
    </r>
    <r>
      <rPr>
        <sz val="10"/>
        <rFont val="新細明體"/>
        <family val="2"/>
        <charset val="136"/>
      </rPr>
      <t>航太科技</t>
    </r>
  </si>
  <si>
    <t>AI and Blockchain Optimization Techniques in Aerospace Engineering</t>
  </si>
  <si>
    <t>Vignesh, U.</t>
  </si>
  <si>
    <t>http://services.igi-global.com/resolvedoi/resolve.aspx?doi=10.4018/979-8-3693-1491-3</t>
    <phoneticPr fontId="36" type="noConversion"/>
  </si>
  <si>
    <t>Novel AI Applications for Advancing Earth Sciences</t>
  </si>
  <si>
    <t>Yadav, Sudesh</t>
  </si>
  <si>
    <t>http://services.igi-global.com/resolvedoi/resolve.aspx?doi=10.4018/979-8-3693-1850-8</t>
    <phoneticPr fontId="36" type="noConversion"/>
  </si>
  <si>
    <t>Sustainable Practices for Agriculture and Marketing Convergence</t>
  </si>
  <si>
    <t>Garwi, Jabulani</t>
  </si>
  <si>
    <t>http://services.igi-global.com/resolvedoi/resolve.aspx?doi=10.4018/979-8-3693-2011-2</t>
    <phoneticPr fontId="36" type="noConversion"/>
  </si>
  <si>
    <t>Sustainable Disposal Methods of Food Wastes in Hospitality Operations</t>
  </si>
  <si>
    <t>Singh, Amrik</t>
  </si>
  <si>
    <t>http://services.igi-global.com/resolvedoi/resolve.aspx?doi=10.4018/979-8-3693-2181-2</t>
    <phoneticPr fontId="36" type="noConversion"/>
  </si>
  <si>
    <t>Predicting Natural Disasters With AI and Machine Learning</t>
  </si>
  <si>
    <t>Satishkumar, D.</t>
  </si>
  <si>
    <t>http://services.igi-global.com/resolvedoi/resolve.aspx?doi=10.4018/979-8-3693-2280-2</t>
    <phoneticPr fontId="36" type="noConversion"/>
  </si>
  <si>
    <t>Cyberfeminism and Gender Violence in Social Media</t>
  </si>
  <si>
    <t>Mishra, Deepanjali</t>
  </si>
  <si>
    <t>Information Science Reference</t>
    <phoneticPr fontId="45" type="noConversion"/>
  </si>
  <si>
    <t>http://services.igi-global.com/resolvedoi/resolve.aspx?doi=10.4018/978-1-6684-8893-5</t>
    <phoneticPr fontId="36" type="noConversion"/>
  </si>
  <si>
    <t>B1030B0 中醫藥</t>
  </si>
  <si>
    <t>Pharmacological Benefits of Natural Agents</t>
  </si>
  <si>
    <t>Radhakrishnan, Narayanaswamy</t>
    <phoneticPr fontId="45" type="noConversion"/>
  </si>
  <si>
    <t>http://services.igi-global.com/resolvedoi/resolve.aspx?doi=10.4018/978-1-6684-6737-4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</si>
</sst>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00#######"/>
  </numFmts>
  <fonts count="47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2"/>
      <color indexed="10"/>
      <name val="標楷體"/>
      <family val="4"/>
      <charset val="136"/>
    </font>
    <font>
      <sz val="12"/>
      <name val="Arial Unicode MS"/>
      <family val="2"/>
      <charset val="136"/>
    </font>
    <font>
      <sz val="12"/>
      <color indexed="8"/>
      <name val="Arial Unicode MS"/>
      <family val="2"/>
      <charset val="136"/>
    </font>
    <font>
      <sz val="12"/>
      <color indexed="12"/>
      <name val="Arial Unicode MS"/>
      <family val="2"/>
      <charset val="136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12"/>
      <name val="Times New Roman"/>
      <family val="1"/>
    </font>
    <font>
      <u/>
      <sz val="12"/>
      <color indexed="12"/>
      <name val="Times New Roman"/>
      <family val="1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0"/>
      <name val="Times New Roman"/>
      <family val="1"/>
    </font>
    <font>
      <sz val="12"/>
      <color theme="1"/>
      <name val="Arial Unicode MS"/>
      <family val="2"/>
      <charset val="136"/>
    </font>
    <font>
      <u/>
      <sz val="12"/>
      <color theme="10"/>
      <name val="Times New Roman"/>
      <family val="1"/>
    </font>
    <font>
      <sz val="12"/>
      <color rgb="FFFF0000"/>
      <name val="Times New Roman"/>
      <family val="1"/>
    </font>
    <font>
      <sz val="10"/>
      <color indexed="8"/>
      <name val="新細明體"/>
      <family val="1"/>
      <charset val="136"/>
    </font>
    <font>
      <sz val="12"/>
      <color indexed="10"/>
      <name val="Arial Unicode MS"/>
      <family val="2"/>
      <charset val="136"/>
    </font>
    <font>
      <u/>
      <sz val="12"/>
      <color indexed="12"/>
      <name val="Arial Unicode MS"/>
      <family val="2"/>
      <charset val="136"/>
    </font>
    <font>
      <sz val="12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color indexed="8"/>
      <name val="Times New Roman"/>
      <family val="1"/>
    </font>
    <font>
      <u/>
      <sz val="10"/>
      <color indexed="12"/>
      <name val="Times New Roman"/>
      <family val="1"/>
    </font>
    <font>
      <sz val="10"/>
      <color indexed="10"/>
      <name val="Times New Roman"/>
      <family val="1"/>
    </font>
    <font>
      <sz val="10"/>
      <color indexed="10"/>
      <name val="新細明體"/>
      <family val="1"/>
      <charset val="136"/>
    </font>
    <font>
      <u/>
      <sz val="10"/>
      <color indexed="8"/>
      <name val="Times New Roman"/>
      <family val="1"/>
    </font>
    <font>
      <u/>
      <sz val="10"/>
      <color indexed="12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color indexed="13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0"/>
      <color theme="1"/>
      <name val="Times New Roman"/>
      <family val="1"/>
    </font>
    <font>
      <sz val="10"/>
      <color theme="1"/>
      <name val="新細明體"/>
      <family val="1"/>
      <charset val="136"/>
    </font>
    <font>
      <u/>
      <sz val="10"/>
      <color theme="10"/>
      <name val="Times New Roman"/>
      <family val="1"/>
    </font>
    <font>
      <b/>
      <sz val="10"/>
      <color indexed="13"/>
      <name val="Times New Roman"/>
      <family val="1"/>
    </font>
    <font>
      <b/>
      <sz val="10"/>
      <color indexed="13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u/>
      <sz val="10"/>
      <color rgb="FF0000FF"/>
      <name val="Times New Roman"/>
      <family val="1"/>
    </font>
    <font>
      <sz val="10"/>
      <name val="新細明體"/>
      <family val="2"/>
      <charset val="136"/>
    </font>
    <font>
      <sz val="9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2" fillId="0" borderId="0">
      <alignment vertical="center"/>
    </xf>
    <xf numFmtId="0" fontId="1" fillId="0" borderId="0">
      <alignment vertical="center"/>
    </xf>
  </cellStyleXfs>
  <cellXfs count="26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176" fontId="6" fillId="0" borderId="2" xfId="0" applyNumberFormat="1" applyFont="1" applyBorder="1" applyAlignment="1" applyProtection="1">
      <alignment horizontal="right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5" fillId="0" borderId="3" xfId="2" applyBorder="1" applyAlignment="1" applyProtection="1">
      <alignment horizontal="right" vertical="center"/>
    </xf>
    <xf numFmtId="0" fontId="0" fillId="0" borderId="0" xfId="0" applyAlignment="1">
      <alignment vertical="center"/>
    </xf>
    <xf numFmtId="49" fontId="7" fillId="0" borderId="3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left" vertical="center"/>
    </xf>
    <xf numFmtId="177" fontId="7" fillId="0" borderId="7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10" xfId="2" applyBorder="1" applyAlignment="1" applyProtection="1">
      <alignment horizontal="right" vertical="center"/>
    </xf>
    <xf numFmtId="0" fontId="8" fillId="0" borderId="11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" xfId="1" applyFont="1" applyFill="1" applyBorder="1" applyAlignment="1"/>
    <xf numFmtId="49" fontId="7" fillId="0" borderId="1" xfId="1" applyNumberFormat="1" applyFont="1" applyFill="1" applyBorder="1" applyAlignment="1"/>
    <xf numFmtId="0" fontId="9" fillId="0" borderId="1" xfId="1" applyFont="1" applyFill="1" applyBorder="1" applyAlignment="1">
      <alignment horizontal="right"/>
    </xf>
    <xf numFmtId="0" fontId="7" fillId="0" borderId="0" xfId="0" applyFont="1">
      <alignment vertical="center"/>
    </xf>
    <xf numFmtId="0" fontId="7" fillId="0" borderId="1" xfId="1" quotePrefix="1" applyFont="1" applyFill="1" applyBorder="1" applyAlignment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2" xfId="1" applyFont="1" applyFill="1" applyBorder="1" applyAlignment="1">
      <alignment horizontal="center"/>
    </xf>
    <xf numFmtId="49" fontId="7" fillId="0" borderId="12" xfId="1" applyNumberFormat="1" applyFont="1" applyFill="1" applyBorder="1" applyAlignment="1">
      <alignment horizontal="center"/>
    </xf>
    <xf numFmtId="0" fontId="7" fillId="0" borderId="13" xfId="1" applyFont="1" applyFill="1" applyBorder="1" applyAlignment="1"/>
    <xf numFmtId="49" fontId="7" fillId="0" borderId="13" xfId="1" applyNumberFormat="1" applyFont="1" applyFill="1" applyBorder="1" applyAlignment="1"/>
    <xf numFmtId="0" fontId="9" fillId="0" borderId="13" xfId="1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8" fillId="0" borderId="12" xfId="1" applyFont="1" applyFill="1" applyBorder="1" applyAlignment="1">
      <alignment horizontal="center"/>
    </xf>
    <xf numFmtId="49" fontId="8" fillId="0" borderId="12" xfId="1" applyNumberFormat="1" applyFont="1" applyFill="1" applyBorder="1" applyAlignment="1">
      <alignment horizontal="center"/>
    </xf>
    <xf numFmtId="0" fontId="8" fillId="0" borderId="1" xfId="1" applyFont="1" applyFill="1" applyBorder="1" applyAlignment="1"/>
    <xf numFmtId="49" fontId="8" fillId="0" borderId="1" xfId="1" applyNumberFormat="1" applyFont="1" applyFill="1" applyBorder="1" applyAlignment="1"/>
    <xf numFmtId="0" fontId="9" fillId="0" borderId="1" xfId="1" quotePrefix="1" applyFont="1" applyFill="1" applyBorder="1" applyAlignment="1"/>
    <xf numFmtId="0" fontId="0" fillId="0" borderId="0" xfId="0" applyFill="1" applyAlignment="1">
      <alignment horizontal="center" vertical="center"/>
    </xf>
    <xf numFmtId="0" fontId="8" fillId="0" borderId="13" xfId="1" applyFont="1" applyFill="1" applyBorder="1" applyAlignment="1"/>
    <xf numFmtId="49" fontId="8" fillId="0" borderId="13" xfId="1" applyNumberFormat="1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177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/>
    </xf>
    <xf numFmtId="49" fontId="10" fillId="0" borderId="3" xfId="0" applyNumberFormat="1" applyFont="1" applyFill="1" applyBorder="1">
      <alignment vertical="center"/>
    </xf>
    <xf numFmtId="177" fontId="10" fillId="0" borderId="3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0" fillId="3" borderId="3" xfId="0" applyFont="1" applyFill="1" applyBorder="1" applyAlignment="1">
      <alignment horizontal="center" vertical="center"/>
    </xf>
    <xf numFmtId="177" fontId="10" fillId="3" borderId="3" xfId="0" applyNumberFormat="1" applyFont="1" applyFill="1" applyBorder="1">
      <alignment vertical="center"/>
    </xf>
    <xf numFmtId="0" fontId="10" fillId="3" borderId="3" xfId="0" applyFont="1" applyFill="1" applyBorder="1">
      <alignment vertical="center"/>
    </xf>
    <xf numFmtId="177" fontId="10" fillId="3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/>
    </xf>
    <xf numFmtId="49" fontId="10" fillId="0" borderId="10" xfId="0" applyNumberFormat="1" applyFont="1" applyFill="1" applyBorder="1">
      <alignment vertical="center"/>
    </xf>
    <xf numFmtId="0" fontId="11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49" fontId="10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49" fontId="10" fillId="3" borderId="3" xfId="0" applyNumberFormat="1" applyFont="1" applyFill="1" applyBorder="1">
      <alignment vertical="center"/>
    </xf>
    <xf numFmtId="0" fontId="12" fillId="0" borderId="5" xfId="0" applyFont="1" applyFill="1" applyBorder="1" applyAlignment="1">
      <alignment horizontal="left" vertical="center"/>
    </xf>
    <xf numFmtId="0" fontId="13" fillId="3" borderId="3" xfId="2" applyFont="1" applyFill="1" applyBorder="1" applyAlignment="1" applyProtection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10" fillId="0" borderId="7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left" vertical="center"/>
    </xf>
    <xf numFmtId="177" fontId="10" fillId="0" borderId="3" xfId="0" applyNumberFormat="1" applyFont="1" applyFill="1" applyBorder="1" applyAlignment="1">
      <alignment horizontal="left" vertical="center"/>
    </xf>
    <xf numFmtId="0" fontId="18" fillId="0" borderId="3" xfId="2" applyFont="1" applyBorder="1" applyAlignment="1" applyProtection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/>
    </xf>
    <xf numFmtId="177" fontId="11" fillId="0" borderId="3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3" fillId="0" borderId="3" xfId="2" applyFont="1" applyBorder="1" applyAlignment="1" applyProtection="1">
      <alignment horizontal="left" vertical="center"/>
    </xf>
    <xf numFmtId="0" fontId="19" fillId="0" borderId="0" xfId="0" applyFont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8" fillId="0" borderId="5" xfId="2" applyFont="1" applyBorder="1" applyAlignment="1" applyProtection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13" fillId="0" borderId="3" xfId="2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10" fillId="0" borderId="8" xfId="0" applyFont="1" applyFill="1" applyBorder="1" applyAlignment="1">
      <alignment horizontal="center" vertical="center" wrapText="1"/>
    </xf>
    <xf numFmtId="0" fontId="13" fillId="0" borderId="10" xfId="2" applyFont="1" applyFill="1" applyBorder="1" applyAlignment="1" applyProtection="1">
      <alignment vertical="center"/>
    </xf>
    <xf numFmtId="0" fontId="20" fillId="0" borderId="0" xfId="0" applyFont="1" applyAlignment="1">
      <alignment horizontal="center" vertical="center"/>
    </xf>
    <xf numFmtId="0" fontId="5" fillId="0" borderId="5" xfId="2" applyFont="1" applyBorder="1" applyAlignment="1" applyProtection="1">
      <alignment horizontal="left" vertical="center"/>
    </xf>
    <xf numFmtId="0" fontId="5" fillId="0" borderId="11" xfId="2" applyFont="1" applyBorder="1" applyAlignment="1" applyProtection="1">
      <alignment horizontal="left" vertical="center"/>
    </xf>
    <xf numFmtId="0" fontId="5" fillId="0" borderId="3" xfId="2" applyFont="1" applyBorder="1" applyAlignment="1" applyProtection="1">
      <alignment horizontal="left" vertical="center"/>
    </xf>
    <xf numFmtId="0" fontId="13" fillId="0" borderId="5" xfId="2" applyFont="1" applyFill="1" applyBorder="1" applyAlignment="1" applyProtection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2" applyAlignment="1" applyProtection="1">
      <alignment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177" fontId="7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vertical="center"/>
    </xf>
    <xf numFmtId="0" fontId="22" fillId="0" borderId="5" xfId="2" applyFont="1" applyBorder="1" applyAlignment="1" applyProtection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Fill="1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177" fontId="7" fillId="0" borderId="10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22" fillId="0" borderId="11" xfId="2" applyFont="1" applyBorder="1" applyAlignment="1" applyProtection="1">
      <alignment vertical="center"/>
    </xf>
    <xf numFmtId="0" fontId="23" fillId="0" borderId="3" xfId="0" applyFont="1" applyBorder="1" applyAlignment="1">
      <alignment horizontal="left" vertical="center"/>
    </xf>
    <xf numFmtId="177" fontId="23" fillId="0" borderId="3" xfId="0" applyNumberFormat="1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4" xfId="0" applyFont="1" applyBorder="1" applyAlignment="1">
      <alignment horizontal="left" vertical="center"/>
    </xf>
    <xf numFmtId="0" fontId="25" fillId="0" borderId="5" xfId="2" applyFont="1" applyBorder="1" applyAlignment="1" applyProtection="1">
      <alignment horizontal="left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177" fontId="23" fillId="0" borderId="7" xfId="0" applyNumberFormat="1" applyFont="1" applyFill="1" applyBorder="1" applyAlignment="1">
      <alignment horizontal="center" vertical="center"/>
    </xf>
    <xf numFmtId="0" fontId="23" fillId="0" borderId="7" xfId="0" applyFont="1" applyFill="1" applyBorder="1" applyAlignment="1" applyProtection="1">
      <alignment horizontal="center" vertical="center"/>
      <protection locked="0"/>
    </xf>
    <xf numFmtId="0" fontId="23" fillId="0" borderId="8" xfId="1" applyFont="1" applyFill="1" applyBorder="1" applyAlignment="1">
      <alignment horizontal="center"/>
    </xf>
    <xf numFmtId="0" fontId="23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177" fontId="23" fillId="0" borderId="10" xfId="0" applyNumberFormat="1" applyFont="1" applyBorder="1" applyAlignment="1">
      <alignment horizontal="left" vertical="center"/>
    </xf>
    <xf numFmtId="0" fontId="25" fillId="0" borderId="11" xfId="2" applyFont="1" applyBorder="1" applyAlignment="1" applyProtection="1">
      <alignment horizontal="left" vertical="center"/>
    </xf>
    <xf numFmtId="0" fontId="26" fillId="0" borderId="3" xfId="0" applyFont="1" applyBorder="1" applyAlignment="1">
      <alignment horizontal="left" vertical="center"/>
    </xf>
    <xf numFmtId="177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177" fontId="26" fillId="0" borderId="3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/>
    </xf>
    <xf numFmtId="0" fontId="27" fillId="0" borderId="3" xfId="0" applyFont="1" applyBorder="1" applyAlignment="1">
      <alignment vertical="center"/>
    </xf>
    <xf numFmtId="17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vertical="center" wrapText="1"/>
    </xf>
    <xf numFmtId="0" fontId="27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8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177" fontId="26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177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vertical="center" wrapText="1"/>
    </xf>
    <xf numFmtId="0" fontId="29" fillId="0" borderId="5" xfId="2" applyFont="1" applyBorder="1" applyAlignment="1" applyProtection="1">
      <alignment vertical="center"/>
    </xf>
    <xf numFmtId="0" fontId="33" fillId="0" borderId="5" xfId="2" applyFont="1" applyBorder="1" applyAlignment="1" applyProtection="1">
      <alignment vertical="center"/>
    </xf>
    <xf numFmtId="0" fontId="32" fillId="0" borderId="5" xfId="2" applyFont="1" applyFill="1" applyBorder="1" applyAlignment="1" applyProtection="1">
      <alignment vertical="center"/>
    </xf>
    <xf numFmtId="0" fontId="34" fillId="5" borderId="7" xfId="0" applyFont="1" applyFill="1" applyBorder="1" applyAlignment="1">
      <alignment horizontal="center" vertical="center" wrapText="1"/>
    </xf>
    <xf numFmtId="177" fontId="34" fillId="5" borderId="7" xfId="0" applyNumberFormat="1" applyFont="1" applyFill="1" applyBorder="1" applyAlignment="1">
      <alignment horizontal="center" vertical="center" wrapText="1"/>
    </xf>
    <xf numFmtId="0" fontId="34" fillId="5" borderId="7" xfId="0" applyFont="1" applyFill="1" applyBorder="1" applyAlignment="1" applyProtection="1">
      <alignment horizontal="center" vertical="center" wrapText="1"/>
      <protection locked="0"/>
    </xf>
    <xf numFmtId="0" fontId="34" fillId="6" borderId="8" xfId="1" applyFont="1" applyFill="1" applyBorder="1" applyAlignment="1">
      <alignment horizontal="center" vertical="center"/>
    </xf>
    <xf numFmtId="0" fontId="29" fillId="0" borderId="11" xfId="2" applyFont="1" applyBorder="1" applyAlignment="1" applyProtection="1">
      <alignment vertical="center"/>
    </xf>
    <xf numFmtId="0" fontId="26" fillId="4" borderId="3" xfId="0" applyFont="1" applyFill="1" applyBorder="1" applyAlignment="1">
      <alignment horizontal="center" vertical="center" wrapText="1"/>
    </xf>
    <xf numFmtId="177" fontId="26" fillId="4" borderId="3" xfId="0" applyNumberFormat="1" applyFont="1" applyFill="1" applyBorder="1" applyAlignment="1">
      <alignment horizontal="center" vertical="center" wrapText="1"/>
    </xf>
    <xf numFmtId="0" fontId="26" fillId="4" borderId="3" xfId="0" applyFont="1" applyFill="1" applyBorder="1" applyAlignment="1" applyProtection="1">
      <alignment horizontal="center" vertical="center" wrapText="1"/>
      <protection locked="0"/>
    </xf>
    <xf numFmtId="0" fontId="35" fillId="7" borderId="3" xfId="1" applyFont="1" applyFill="1" applyBorder="1" applyAlignment="1">
      <alignment horizontal="left"/>
    </xf>
    <xf numFmtId="0" fontId="28" fillId="0" borderId="0" xfId="0" applyFont="1" applyAlignment="1">
      <alignment vertical="center" wrapText="1"/>
    </xf>
    <xf numFmtId="0" fontId="26" fillId="0" borderId="3" xfId="0" applyFont="1" applyBorder="1" applyAlignment="1">
      <alignment vertical="center"/>
    </xf>
    <xf numFmtId="0" fontId="26" fillId="0" borderId="3" xfId="0" applyFont="1" applyBorder="1" applyAlignment="1" applyProtection="1">
      <alignment vertical="center"/>
      <protection locked="0"/>
    </xf>
    <xf numFmtId="49" fontId="26" fillId="0" borderId="3" xfId="0" applyNumberFormat="1" applyFont="1" applyBorder="1" applyAlignment="1">
      <alignment vertical="center"/>
    </xf>
    <xf numFmtId="0" fontId="26" fillId="0" borderId="3" xfId="0" applyFont="1" applyBorder="1" applyAlignment="1">
      <alignment vertical="center" wrapText="1"/>
    </xf>
    <xf numFmtId="0" fontId="29" fillId="0" borderId="3" xfId="2" applyFont="1" applyBorder="1" applyAlignment="1" applyProtection="1">
      <alignment horizontal="left" vertical="center"/>
    </xf>
    <xf numFmtId="0" fontId="28" fillId="0" borderId="0" xfId="0" applyFont="1">
      <alignment vertical="center"/>
    </xf>
    <xf numFmtId="0" fontId="37" fillId="0" borderId="14" xfId="0" applyFont="1" applyBorder="1">
      <alignment vertical="center"/>
    </xf>
    <xf numFmtId="177" fontId="37" fillId="0" borderId="14" xfId="0" applyNumberFormat="1" applyFont="1" applyBorder="1" applyAlignment="1">
      <alignment horizontal="center" vertical="center"/>
    </xf>
    <xf numFmtId="0" fontId="26" fillId="0" borderId="14" xfId="0" applyFont="1" applyBorder="1" applyAlignment="1">
      <alignment vertical="center" wrapText="1"/>
    </xf>
    <xf numFmtId="0" fontId="26" fillId="0" borderId="14" xfId="0" applyFont="1" applyBorder="1" applyAlignment="1">
      <alignment horizontal="center" vertical="center"/>
    </xf>
    <xf numFmtId="0" fontId="26" fillId="0" borderId="14" xfId="0" applyFont="1" applyBorder="1">
      <alignment vertical="center"/>
    </xf>
    <xf numFmtId="0" fontId="37" fillId="0" borderId="14" xfId="0" applyFont="1" applyBorder="1" applyAlignment="1">
      <alignment horizontal="center" vertical="center"/>
    </xf>
    <xf numFmtId="0" fontId="39" fillId="0" borderId="14" xfId="2" applyFont="1" applyBorder="1" applyAlignment="1" applyProtection="1">
      <alignment vertical="center" wrapText="1"/>
    </xf>
    <xf numFmtId="0" fontId="26" fillId="8" borderId="14" xfId="0" applyFont="1" applyFill="1" applyBorder="1" applyAlignment="1">
      <alignment horizontal="center" vertical="center" wrapText="1"/>
    </xf>
    <xf numFmtId="177" fontId="26" fillId="8" borderId="14" xfId="0" applyNumberFormat="1" applyFont="1" applyFill="1" applyBorder="1" applyAlignment="1">
      <alignment horizontal="center" vertical="center" wrapText="1"/>
    </xf>
    <xf numFmtId="0" fontId="26" fillId="8" borderId="14" xfId="0" applyFont="1" applyFill="1" applyBorder="1" applyAlignment="1" applyProtection="1">
      <alignment horizontal="center" vertical="center" wrapText="1"/>
      <protection locked="0"/>
    </xf>
    <xf numFmtId="0" fontId="40" fillId="7" borderId="14" xfId="1" applyFont="1" applyFill="1" applyBorder="1" applyAlignment="1">
      <alignment horizontal="left"/>
    </xf>
    <xf numFmtId="0" fontId="3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6" fillId="0" borderId="14" xfId="3" applyFont="1" applyBorder="1">
      <alignment vertical="center"/>
    </xf>
    <xf numFmtId="49" fontId="26" fillId="0" borderId="14" xfId="3" applyNumberFormat="1" applyFont="1" applyBorder="1" applyAlignment="1">
      <alignment horizontal="center" vertical="center"/>
    </xf>
    <xf numFmtId="0" fontId="26" fillId="0" borderId="14" xfId="3" applyFont="1" applyBorder="1" applyAlignment="1">
      <alignment vertical="center" wrapText="1"/>
    </xf>
    <xf numFmtId="0" fontId="26" fillId="0" borderId="14" xfId="3" applyFont="1" applyBorder="1" applyAlignment="1">
      <alignment horizontal="center" vertical="center"/>
    </xf>
    <xf numFmtId="0" fontId="43" fillId="0" borderId="14" xfId="2" applyFont="1" applyBorder="1" applyAlignment="1" applyProtection="1">
      <alignment horizontal="righ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37" fillId="0" borderId="0" xfId="0" applyFont="1">
      <alignment vertical="center"/>
    </xf>
    <xf numFmtId="0" fontId="35" fillId="7" borderId="15" xfId="1" applyFont="1" applyFill="1" applyBorder="1" applyAlignment="1">
      <alignment horizontal="left"/>
    </xf>
    <xf numFmtId="0" fontId="26" fillId="0" borderId="14" xfId="4" applyFont="1" applyBorder="1">
      <alignment vertical="center"/>
    </xf>
    <xf numFmtId="177" fontId="26" fillId="0" borderId="14" xfId="4" applyNumberFormat="1" applyFont="1" applyBorder="1">
      <alignment vertical="center"/>
    </xf>
    <xf numFmtId="0" fontId="26" fillId="0" borderId="14" xfId="4" applyFont="1" applyBorder="1" applyAlignment="1">
      <alignment vertical="center" wrapText="1"/>
    </xf>
    <xf numFmtId="0" fontId="26" fillId="0" borderId="14" xfId="4" applyFont="1" applyBorder="1" applyAlignment="1">
      <alignment horizontal="center" vertical="center"/>
    </xf>
    <xf numFmtId="0" fontId="39" fillId="0" borderId="15" xfId="2" applyFont="1" applyBorder="1" applyAlignment="1" applyProtection="1">
      <alignment horizontal="right" vertical="center"/>
    </xf>
    <xf numFmtId="0" fontId="5" fillId="0" borderId="15" xfId="2" applyBorder="1" applyAlignment="1" applyProtection="1">
      <alignment horizontal="right" vertical="center"/>
    </xf>
    <xf numFmtId="0" fontId="46" fillId="0" borderId="3" xfId="4" applyFont="1" applyBorder="1">
      <alignment vertical="center"/>
    </xf>
    <xf numFmtId="177" fontId="46" fillId="0" borderId="3" xfId="4" applyNumberFormat="1" applyFont="1" applyBorder="1" applyAlignment="1">
      <alignment horizontal="center" vertical="center"/>
    </xf>
    <xf numFmtId="0" fontId="46" fillId="0" borderId="3" xfId="4" applyFont="1" applyBorder="1" applyAlignment="1">
      <alignment vertical="center" wrapText="1"/>
    </xf>
    <xf numFmtId="0" fontId="46" fillId="0" borderId="3" xfId="4" applyFont="1" applyBorder="1" applyAlignment="1">
      <alignment horizontal="center" vertical="center"/>
    </xf>
    <xf numFmtId="0" fontId="39" fillId="0" borderId="3" xfId="2" applyFont="1" applyBorder="1" applyAlignment="1" applyProtection="1">
      <alignment horizontal="right" vertical="center"/>
    </xf>
  </cellXfs>
  <cellStyles count="5">
    <cellStyle name="一般" xfId="0" builtinId="0"/>
    <cellStyle name="一般 2" xfId="3" xr:uid="{C87F56A9-5F88-42EF-9213-E55C2972A4F3}"/>
    <cellStyle name="一般 9" xfId="4" xr:uid="{1D96B8F9-3B73-4A35-B986-CA43334DE918}"/>
    <cellStyle name="一般_Sheet3" xfId="1" xr:uid="{00000000-0005-0000-0000-000001000000}"/>
    <cellStyle name="超連結" xfId="2" builtinId="8"/>
  </cellStyles>
  <dxfs count="201"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indexed="12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77" formatCode="000#######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177" formatCode="000#######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77" formatCode="000#######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77" formatCode="000#######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Arial Unicode MS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177" formatCode="000#######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177" formatCode="000#######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77" formatCode="000#######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77" formatCode="000#######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7" formatCode="000#######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7" formatCode="000#######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rial Unicode MS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新細明體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8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rial Unicode MS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表格10" displayName="表格10" ref="A1:N213" totalsRowShown="0" headerRowDxfId="200" dataDxfId="198" headerRowBorderDxfId="199" tableBorderDxfId="197" totalsRowBorderDxfId="196" headerRowCellStyle="一般_Sheet3" dataCellStyle="一般_Sheet3">
  <tableColumns count="14">
    <tableColumn id="1" xr3:uid="{00000000-0010-0000-0000-000001000000}" name="序號" dataDxfId="195" dataCellStyle="一般_Sheet3"/>
    <tableColumn id="2" xr3:uid="{00000000-0010-0000-0000-000002000000}" name="主題" dataDxfId="194" dataCellStyle="一般_Sheet3"/>
    <tableColumn id="3" xr3:uid="{00000000-0010-0000-0000-000003000000}" name="次主題" dataDxfId="193" dataCellStyle="一般_Sheet3"/>
    <tableColumn id="4" xr3:uid="{00000000-0010-0000-0000-000004000000}" name="杜威十進分類號" dataDxfId="192" dataCellStyle="一般_Sheet3"/>
    <tableColumn id="5" xr3:uid="{00000000-0010-0000-0000-000005000000}" name="國會分類號" dataDxfId="191" dataCellStyle="一般_Sheet3"/>
    <tableColumn id="6" xr3:uid="{00000000-0010-0000-0000-000006000000}" name="電子書13碼ISBN" dataDxfId="190" dataCellStyle="一般_Sheet3"/>
    <tableColumn id="7" xr3:uid="{00000000-0010-0000-0000-000007000000}" name="紙本ISBN" dataDxfId="189" dataCellStyle="一般_Sheet3"/>
    <tableColumn id="8" xr3:uid="{00000000-0010-0000-0000-000008000000}" name="題名" dataDxfId="188" dataCellStyle="一般_Sheet3"/>
    <tableColumn id="9" xr3:uid="{00000000-0010-0000-0000-000009000000}" name="冊數" dataDxfId="187" dataCellStyle="一般_Sheet3"/>
    <tableColumn id="10" xr3:uid="{00000000-0010-0000-0000-00000A000000}" name="版次" dataDxfId="186" dataCellStyle="一般_Sheet3"/>
    <tableColumn id="11" xr3:uid="{00000000-0010-0000-0000-00000B000000}" name="著者" dataDxfId="185" dataCellStyle="一般_Sheet3"/>
    <tableColumn id="12" xr3:uid="{00000000-0010-0000-0000-00000C000000}" name="出版者" dataDxfId="184" dataCellStyle="一般_Sheet3"/>
    <tableColumn id="13" xr3:uid="{00000000-0010-0000-0000-00000D000000}" name="出版年" dataDxfId="183" dataCellStyle="一般_Sheet3"/>
    <tableColumn id="14" xr3:uid="{00000000-0010-0000-0000-00000E000000}" name="連結" dataDxfId="182" dataCellStyle="一般_Sheet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9000000}" name="表格4" displayName="表格4" ref="A1:M228" totalsRowShown="0" headerRowDxfId="37" dataDxfId="35" headerRowBorderDxfId="36" tableBorderDxfId="34" totalsRowBorderDxfId="33">
  <autoFilter ref="A1:M228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900-000001000000}" name="序號" dataDxfId="32"/>
    <tableColumn id="2" xr3:uid="{00000000-0010-0000-0900-000002000000}" name="主題" dataDxfId="31"/>
    <tableColumn id="3" xr3:uid="{00000000-0010-0000-0900-000003000000}" name="次主題" dataDxfId="30"/>
    <tableColumn id="4" xr3:uid="{00000000-0010-0000-0900-000004000000}" name="電子書13碼ISBN" dataDxfId="29"/>
    <tableColumn id="5" xr3:uid="{00000000-0010-0000-0900-000005000000}" name="紙本ISBN" dataDxfId="28"/>
    <tableColumn id="6" xr3:uid="{00000000-0010-0000-0900-000006000000}" name="題名" dataDxfId="27"/>
    <tableColumn id="7" xr3:uid="{00000000-0010-0000-0900-000007000000}" name="冊數" dataDxfId="26"/>
    <tableColumn id="8" xr3:uid="{00000000-0010-0000-0900-000008000000}" name="版次" dataDxfId="25"/>
    <tableColumn id="9" xr3:uid="{00000000-0010-0000-0900-000009000000}" name="作者" dataDxfId="24"/>
    <tableColumn id="10" xr3:uid="{00000000-0010-0000-0900-00000A000000}" name="出版者" dataDxfId="23"/>
    <tableColumn id="11" xr3:uid="{00000000-0010-0000-0900-00000B000000}" name="出版年" dataDxfId="22"/>
    <tableColumn id="12" xr3:uid="{00000000-0010-0000-0900-00000C000000}" name="附件" dataDxfId="21"/>
    <tableColumn id="13" xr3:uid="{00000000-0010-0000-0900-00000D000000}" name="連結" dataDxfId="20" dataCellStyle="超連結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BE4E84E-52D4-408D-8FE1-93A69EECFA0F}" name="表格7" displayName="表格7" ref="A1:N254" totalsRowShown="0" headerRowDxfId="17" headerRowBorderDxfId="16" tableBorderDxfId="15" totalsRowBorderDxfId="14">
  <tableColumns count="14">
    <tableColumn id="1" xr3:uid="{56056551-0936-4C79-A642-5321B5646174}" name="序號" dataDxfId="13"/>
    <tableColumn id="2" xr3:uid="{CBE4B791-B495-45BA-8A00-49F53DE3BA80}" name="主題" dataDxfId="12"/>
    <tableColumn id="3" xr3:uid="{2AE0E2E8-1227-49EB-ADF5-0368DEDB2B6C}" name="次主題" dataDxfId="11"/>
    <tableColumn id="4" xr3:uid="{30E7931A-78C3-4D78-991C-FCA2BB162BA4}" name="電子書13碼ISBN" dataDxfId="10"/>
    <tableColumn id="5" xr3:uid="{3F4407E7-FFD4-452F-A4CA-5F9D3414F5D2}" name="紙本ISBN" dataDxfId="9"/>
    <tableColumn id="6" xr3:uid="{CD34CC59-3C1E-44B9-9E2F-6987B1730DF1}" name="題名" dataDxfId="8"/>
    <tableColumn id="7" xr3:uid="{2504A6BB-AB7C-4FA0-ABBF-150EB0EF3C61}" name="冊數" dataDxfId="7"/>
    <tableColumn id="8" xr3:uid="{90170F7D-AEBF-4DA8-9C63-95DAABCC5831}" name="版次" dataDxfId="6"/>
    <tableColumn id="9" xr3:uid="{0D158F7E-47D1-4261-907B-49579C95B4D9}" name="作者" dataDxfId="5"/>
    <tableColumn id="10" xr3:uid="{4D87BEA1-A2B1-49F3-B75A-B038BDE75C5F}" name="出版者" dataDxfId="4"/>
    <tableColumn id="11" xr3:uid="{17B61502-AEBE-4513-AE27-77B7089DB1FF}" name="出版年" dataDxfId="3"/>
    <tableColumn id="12" xr3:uid="{C355ACFF-719D-4DB3-8747-9E866588BD35}" name="附件" dataDxfId="2"/>
    <tableColumn id="13" xr3:uid="{F3EE61B6-ABA9-4E83-B035-6577FC9368A8}" name="備註" dataDxfId="1"/>
    <tableColumn id="14" xr3:uid="{185CEC18-DD4D-40A0-B936-1A3F1196FA7B}" name="連結" dataDxfId="0" dataCellStyle="超連結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表格1" displayName="表格1" ref="A1:N291" totalsRowShown="0" headerRowDxfId="181" dataDxfId="179" headerRowBorderDxfId="180" tableBorderDxfId="178" headerRowCellStyle="一般_Sheet3" dataCellStyle="一般_Sheet3">
  <sortState xmlns:xlrd2="http://schemas.microsoft.com/office/spreadsheetml/2017/richdata2" ref="A2:N291">
    <sortCondition ref="C2:C291"/>
    <sortCondition descending="1" ref="M2:M291"/>
    <sortCondition ref="H2:H291"/>
  </sortState>
  <tableColumns count="14">
    <tableColumn id="1" xr3:uid="{00000000-0010-0000-0100-000001000000}" name="序號" dataDxfId="177" dataCellStyle="一般_Sheet3"/>
    <tableColumn id="2" xr3:uid="{00000000-0010-0000-0100-000002000000}" name="主題" dataDxfId="176" dataCellStyle="一般_Sheet3"/>
    <tableColumn id="3" xr3:uid="{00000000-0010-0000-0100-000003000000}" name="次主題" dataDxfId="175" dataCellStyle="一般_Sheet3"/>
    <tableColumn id="4" xr3:uid="{00000000-0010-0000-0100-000004000000}" name="杜威十進分類號" dataDxfId="174" dataCellStyle="一般_Sheet3"/>
    <tableColumn id="5" xr3:uid="{00000000-0010-0000-0100-000005000000}" name="國會分類號" dataDxfId="173" dataCellStyle="一般_Sheet3"/>
    <tableColumn id="6" xr3:uid="{00000000-0010-0000-0100-000006000000}" name="電子書13碼ISBN" dataDxfId="172" dataCellStyle="一般_Sheet3"/>
    <tableColumn id="7" xr3:uid="{00000000-0010-0000-0100-000007000000}" name="紙本ISBN" dataDxfId="171" dataCellStyle="一般_Sheet3"/>
    <tableColumn id="8" xr3:uid="{00000000-0010-0000-0100-000008000000}" name="題名" dataDxfId="170" dataCellStyle="一般_Sheet3"/>
    <tableColumn id="9" xr3:uid="{00000000-0010-0000-0100-000009000000}" name="冊數" dataDxfId="169" dataCellStyle="一般_Sheet3"/>
    <tableColumn id="10" xr3:uid="{00000000-0010-0000-0100-00000A000000}" name="版次" dataDxfId="168" dataCellStyle="一般_Sheet3"/>
    <tableColumn id="11" xr3:uid="{00000000-0010-0000-0100-00000B000000}" name="著者" dataDxfId="167" dataCellStyle="一般_Sheet3"/>
    <tableColumn id="12" xr3:uid="{00000000-0010-0000-0100-00000C000000}" name="出版者" dataDxfId="166" dataCellStyle="一般_Sheet3"/>
    <tableColumn id="13" xr3:uid="{00000000-0010-0000-0100-00000D000000}" name="出版年" dataDxfId="165" dataCellStyle="一般_Sheet3"/>
    <tableColumn id="14" xr3:uid="{00000000-0010-0000-0100-00000E000000}" name="連結" dataDxfId="164" dataCellStyle="一般_Sheet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表格6" displayName="表格6" ref="A1:N277" totalsRowShown="0" headerRowDxfId="163" dataDxfId="161" headerRowBorderDxfId="162" tableBorderDxfId="160" totalsRowBorderDxfId="159" headerRowCellStyle="一般_Sheet3" dataCellStyle="一般_Sheet3">
  <tableColumns count="14">
    <tableColumn id="1" xr3:uid="{00000000-0010-0000-0200-000001000000}" name="序號" dataDxfId="158" dataCellStyle="一般_Sheet3"/>
    <tableColumn id="2" xr3:uid="{00000000-0010-0000-0200-000002000000}" name="主題" dataDxfId="157" dataCellStyle="一般_Sheet3"/>
    <tableColumn id="3" xr3:uid="{00000000-0010-0000-0200-000003000000}" name="次主題" dataDxfId="156" dataCellStyle="一般_Sheet3"/>
    <tableColumn id="4" xr3:uid="{00000000-0010-0000-0200-000004000000}" name="杜威十進分類號" dataDxfId="155" dataCellStyle="一般_Sheet3"/>
    <tableColumn id="5" xr3:uid="{00000000-0010-0000-0200-000005000000}" name="國會分類號" dataDxfId="154" dataCellStyle="一般_Sheet3"/>
    <tableColumn id="6" xr3:uid="{00000000-0010-0000-0200-000006000000}" name="電子書13碼ISBN" dataDxfId="153" dataCellStyle="一般_Sheet3"/>
    <tableColumn id="7" xr3:uid="{00000000-0010-0000-0200-000007000000}" name="紙本ISBN" dataDxfId="152" dataCellStyle="一般_Sheet3"/>
    <tableColumn id="8" xr3:uid="{00000000-0010-0000-0200-000008000000}" name="題名" dataDxfId="151" dataCellStyle="一般_Sheet3"/>
    <tableColumn id="9" xr3:uid="{00000000-0010-0000-0200-000009000000}" name="冊數" dataDxfId="150" dataCellStyle="一般_Sheet3"/>
    <tableColumn id="10" xr3:uid="{00000000-0010-0000-0200-00000A000000}" name="版次" dataDxfId="149" dataCellStyle="一般_Sheet3"/>
    <tableColumn id="11" xr3:uid="{00000000-0010-0000-0200-00000B000000}" name="著者" dataDxfId="148" dataCellStyle="一般_Sheet3"/>
    <tableColumn id="12" xr3:uid="{00000000-0010-0000-0200-00000C000000}" name="出版者" dataDxfId="147" dataCellStyle="一般_Sheet3"/>
    <tableColumn id="13" xr3:uid="{00000000-0010-0000-0200-00000D000000}" name="出版年" dataDxfId="146" dataCellStyle="一般_Sheet3"/>
    <tableColumn id="14" xr3:uid="{00000000-0010-0000-0200-00000E000000}" name="連結" dataDxfId="145" dataCellStyle="一般_Sheet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表格3" displayName="表格3" ref="A1:O140" totalsRowShown="0" headerRowDxfId="144" headerRowBorderDxfId="143" tableBorderDxfId="142" totalsRowBorderDxfId="141">
  <tableColumns count="15">
    <tableColumn id="1" xr3:uid="{00000000-0010-0000-0300-000001000000}" name="序號" dataDxfId="140"/>
    <tableColumn id="2" xr3:uid="{00000000-0010-0000-0300-000002000000}" name="主題" dataDxfId="139"/>
    <tableColumn id="3" xr3:uid="{00000000-0010-0000-0300-000003000000}" name="次主題" dataDxfId="138"/>
    <tableColumn id="4" xr3:uid="{00000000-0010-0000-0300-000004000000}" name="杜威十進分類號" dataDxfId="137"/>
    <tableColumn id="5" xr3:uid="{00000000-0010-0000-0300-000005000000}" name="國會分類號" dataDxfId="136"/>
    <tableColumn id="6" xr3:uid="{00000000-0010-0000-0300-000006000000}" name="電子書13碼ISBN" dataDxfId="135"/>
    <tableColumn id="7" xr3:uid="{00000000-0010-0000-0300-000007000000}" name="紙本ISBN" dataDxfId="134"/>
    <tableColumn id="8" xr3:uid="{00000000-0010-0000-0300-000008000000}" name="題名" dataDxfId="133"/>
    <tableColumn id="9" xr3:uid="{00000000-0010-0000-0300-000009000000}" name="出版年" dataDxfId="132"/>
    <tableColumn id="10" xr3:uid="{00000000-0010-0000-0300-00000A000000}" name="版次" dataDxfId="131"/>
    <tableColumn id="11" xr3:uid="{00000000-0010-0000-0300-00000B000000}" name="作者" dataDxfId="130"/>
    <tableColumn id="12" xr3:uid="{00000000-0010-0000-0300-00000C000000}" name="出版者" dataDxfId="129"/>
    <tableColumn id="13" xr3:uid="{00000000-0010-0000-0300-00000D000000}" name="冊數" dataDxfId="128"/>
    <tableColumn id="14" xr3:uid="{00000000-0010-0000-0300-00000E000000}" name="連結" dataDxfId="127" dataCellStyle="超連結"/>
    <tableColumn id="15" xr3:uid="{00000000-0010-0000-0300-00000F000000}" name="平台" dataDxfId="12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4000000}" name="表格15" displayName="表格15" ref="A1:N197" totalsRowShown="0" headerRowDxfId="124" dataDxfId="122" headerRowBorderDxfId="123" tableBorderDxfId="121" totalsRowBorderDxfId="120">
  <tableColumns count="14">
    <tableColumn id="1" xr3:uid="{00000000-0010-0000-0400-000001000000}" name="序號" dataDxfId="119"/>
    <tableColumn id="2" xr3:uid="{00000000-0010-0000-0400-000002000000}" name="主題" dataDxfId="118"/>
    <tableColumn id="3" xr3:uid="{00000000-0010-0000-0400-000003000000}" name="次主題" dataDxfId="117"/>
    <tableColumn id="4" xr3:uid="{00000000-0010-0000-0400-000004000000}" name="杜威十進分類號" dataDxfId="116"/>
    <tableColumn id="5" xr3:uid="{00000000-0010-0000-0400-000005000000}" name="國會分類號" dataDxfId="115"/>
    <tableColumn id="6" xr3:uid="{00000000-0010-0000-0400-000006000000}" name="電子書13碼ISBN" dataDxfId="114"/>
    <tableColumn id="7" xr3:uid="{00000000-0010-0000-0400-000007000000}" name="紙本ISBN" dataDxfId="113"/>
    <tableColumn id="8" xr3:uid="{00000000-0010-0000-0400-000008000000}" name="題名" dataDxfId="112"/>
    <tableColumn id="9" xr3:uid="{00000000-0010-0000-0400-000009000000}" name="冊數" dataDxfId="111"/>
    <tableColumn id="10" xr3:uid="{00000000-0010-0000-0400-00000A000000}" name="版次" dataDxfId="110"/>
    <tableColumn id="11" xr3:uid="{00000000-0010-0000-0400-00000B000000}" name="作者" dataDxfId="109"/>
    <tableColumn id="12" xr3:uid="{00000000-0010-0000-0400-00000C000000}" name="出版者" dataDxfId="108"/>
    <tableColumn id="13" xr3:uid="{00000000-0010-0000-0400-00000D000000}" name="出版年" dataDxfId="107"/>
    <tableColumn id="14" xr3:uid="{00000000-0010-0000-0400-00000E000000}" name="連結" dataDxfId="10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5000000}" name="表格1_27" displayName="表格1_27" ref="A1:O127" totalsRowShown="0" headerRowDxfId="105" dataDxfId="104" tableBorderDxfId="103">
  <sortState xmlns:xlrd2="http://schemas.microsoft.com/office/spreadsheetml/2017/richdata2" ref="A2:O129">
    <sortCondition ref="B2:B129"/>
    <sortCondition ref="C2:C129"/>
    <sortCondition descending="1" ref="M2:M129"/>
  </sortState>
  <tableColumns count="15">
    <tableColumn id="1" xr3:uid="{00000000-0010-0000-0500-000001000000}" name="序號" dataDxfId="102"/>
    <tableColumn id="2" xr3:uid="{00000000-0010-0000-0500-000002000000}" name="主題" dataDxfId="101"/>
    <tableColumn id="3" xr3:uid="{00000000-0010-0000-0500-000003000000}" name="次主題" dataDxfId="100"/>
    <tableColumn id="4" xr3:uid="{00000000-0010-0000-0500-000004000000}" name="杜威十進分類號" dataDxfId="99"/>
    <tableColumn id="5" xr3:uid="{00000000-0010-0000-0500-000005000000}" name="國會分類號" dataDxfId="98"/>
    <tableColumn id="6" xr3:uid="{00000000-0010-0000-0500-000006000000}" name="電子書ISBN" dataDxfId="97"/>
    <tableColumn id="7" xr3:uid="{00000000-0010-0000-0500-000007000000}" name="紙本ISBN" dataDxfId="96"/>
    <tableColumn id="8" xr3:uid="{00000000-0010-0000-0500-000008000000}" name="題名" dataDxfId="95"/>
    <tableColumn id="9" xr3:uid="{00000000-0010-0000-0500-000009000000}" name="冊數" dataDxfId="94"/>
    <tableColumn id="10" xr3:uid="{00000000-0010-0000-0500-00000A000000}" name="版次" dataDxfId="93"/>
    <tableColumn id="11" xr3:uid="{00000000-0010-0000-0500-00000B000000}" name="作者" dataDxfId="92"/>
    <tableColumn id="12" xr3:uid="{00000000-0010-0000-0500-00000C000000}" name="出版者" dataDxfId="91"/>
    <tableColumn id="13" xr3:uid="{00000000-0010-0000-0500-00000D000000}" name="出版年" dataDxfId="90"/>
    <tableColumn id="14" xr3:uid="{00000000-0010-0000-0500-00000E000000}" name="連結" dataDxfId="89" dataCellStyle="超連結"/>
    <tableColumn id="15" xr3:uid="{00000000-0010-0000-0500-00000F000000}" name="備註" dataDxfId="8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表格9" displayName="表格9" ref="A1:L213" totalsRowShown="0" headerRowDxfId="87" dataDxfId="86">
  <autoFilter ref="A1:L213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600-000001000000}" name="序號" dataDxfId="85"/>
    <tableColumn id="2" xr3:uid="{00000000-0010-0000-0600-000002000000}" name="主題" dataDxfId="84"/>
    <tableColumn id="3" xr3:uid="{00000000-0010-0000-0600-000003000000}" name="次主題" dataDxfId="83"/>
    <tableColumn id="4" xr3:uid="{00000000-0010-0000-0600-000004000000}" name="電子書13碼ISBN" dataDxfId="82"/>
    <tableColumn id="5" xr3:uid="{00000000-0010-0000-0600-000005000000}" name="紙本ISBN" dataDxfId="81"/>
    <tableColumn id="6" xr3:uid="{00000000-0010-0000-0600-000006000000}" name="題名" dataDxfId="80"/>
    <tableColumn id="7" xr3:uid="{00000000-0010-0000-0600-000007000000}" name="冊數" dataDxfId="79"/>
    <tableColumn id="8" xr3:uid="{00000000-0010-0000-0600-000008000000}" name="版次" dataDxfId="78"/>
    <tableColumn id="9" xr3:uid="{00000000-0010-0000-0600-000009000000}" name="作者" dataDxfId="77"/>
    <tableColumn id="10" xr3:uid="{00000000-0010-0000-0600-00000A000000}" name="出版者" dataDxfId="76"/>
    <tableColumn id="11" xr3:uid="{00000000-0010-0000-0600-00000B000000}" name="出版年" dataDxfId="75"/>
    <tableColumn id="12" xr3:uid="{00000000-0010-0000-0600-00000C000000}" name="連結" dataDxfId="74" dataCellStyle="超連結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7000000}" name="表格14" displayName="表格14" ref="A1:M315" totalsRowShown="0" headerRowDxfId="73" dataDxfId="72">
  <autoFilter ref="A1:M315" xr:uid="{00000000-0009-0000-0100-00000E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700-000001000000}" name="序號" dataDxfId="71"/>
    <tableColumn id="2" xr3:uid="{00000000-0010-0000-0700-000002000000}" name="主題" dataDxfId="70"/>
    <tableColumn id="3" xr3:uid="{00000000-0010-0000-0700-000003000000}" name="次主題" dataDxfId="69"/>
    <tableColumn id="4" xr3:uid="{00000000-0010-0000-0700-000004000000}" name="電子書13碼ISBN" dataDxfId="68"/>
    <tableColumn id="5" xr3:uid="{00000000-0010-0000-0700-000005000000}" name="紙本ISBN" dataDxfId="67"/>
    <tableColumn id="6" xr3:uid="{00000000-0010-0000-0700-000006000000}" name="題名" dataDxfId="66"/>
    <tableColumn id="7" xr3:uid="{00000000-0010-0000-0700-000007000000}" name="冊數" dataDxfId="65"/>
    <tableColumn id="8" xr3:uid="{00000000-0010-0000-0700-000008000000}" name="版次" dataDxfId="64"/>
    <tableColumn id="9" xr3:uid="{00000000-0010-0000-0700-000009000000}" name="作者" dataDxfId="63"/>
    <tableColumn id="10" xr3:uid="{00000000-0010-0000-0700-00000A000000}" name="出版者" dataDxfId="62"/>
    <tableColumn id="11" xr3:uid="{00000000-0010-0000-0700-00000B000000}" name="出版年" dataDxfId="61"/>
    <tableColumn id="12" xr3:uid="{00000000-0010-0000-0700-00000C000000}" name="附件" dataDxfId="60"/>
    <tableColumn id="13" xr3:uid="{00000000-0010-0000-0700-00000D000000}" name="連結" dataDxfId="59" dataCellStyle="超連結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8000000}" name="表格2" displayName="表格2" ref="A1:N239" totalsRowShown="0" headerRowDxfId="56" headerRowBorderDxfId="55" tableBorderDxfId="54" totalsRowBorderDxfId="53">
  <autoFilter ref="A1:N239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800-000001000000}" name="序號" dataDxfId="52"/>
    <tableColumn id="2" xr3:uid="{00000000-0010-0000-0800-000002000000}" name="主題" dataDxfId="51"/>
    <tableColumn id="3" xr3:uid="{00000000-0010-0000-0800-000003000000}" name="次主題" dataDxfId="50"/>
    <tableColumn id="4" xr3:uid="{00000000-0010-0000-0800-000004000000}" name="電子書13碼ISBN" dataDxfId="49"/>
    <tableColumn id="5" xr3:uid="{00000000-0010-0000-0800-000005000000}" name="紙本ISBN" dataDxfId="48"/>
    <tableColumn id="6" xr3:uid="{00000000-0010-0000-0800-000006000000}" name="題名" dataDxfId="47"/>
    <tableColumn id="7" xr3:uid="{00000000-0010-0000-0800-000007000000}" name="冊數" dataDxfId="46"/>
    <tableColumn id="8" xr3:uid="{00000000-0010-0000-0800-000008000000}" name="版次" dataDxfId="45"/>
    <tableColumn id="9" xr3:uid="{00000000-0010-0000-0800-000009000000}" name="作者" dataDxfId="44"/>
    <tableColumn id="10" xr3:uid="{00000000-0010-0000-0800-00000A000000}" name="出版者" dataDxfId="43"/>
    <tableColumn id="11" xr3:uid="{00000000-0010-0000-0800-00000B000000}" name="出版年" dataDxfId="42"/>
    <tableColumn id="12" xr3:uid="{00000000-0010-0000-0800-00000C000000}" name="附件" dataDxfId="41"/>
    <tableColumn id="13" xr3:uid="{00000000-0010-0000-0800-00000D000000}" name="備註" dataDxfId="40"/>
    <tableColumn id="14" xr3:uid="{00000000-0010-0000-0800-00000E000000}" name="連結" dataDxfId="39" dataCellStyle="超連結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://services.igi-global.com/resolvedoi/resolve.aspx?doi=10.4018/978-1-7998-3156-3" TargetMode="External"/><Relationship Id="rId21" Type="http://schemas.openxmlformats.org/officeDocument/2006/relationships/hyperlink" Target="http://services.igi-global.com/resolvedoi/resolve.aspx?doi=10.4018/978-1-5225-7675-4" TargetMode="External"/><Relationship Id="rId42" Type="http://schemas.openxmlformats.org/officeDocument/2006/relationships/hyperlink" Target="http://services.igi-global.com/resolvedoi/resolve.aspx?doi=10.4018/978-1-5225-6980-0" TargetMode="External"/><Relationship Id="rId63" Type="http://schemas.openxmlformats.org/officeDocument/2006/relationships/hyperlink" Target="http://services.igi-global.com/resolvedoi/resolve.aspx?doi=10.4018/978-1-7998-0022-4" TargetMode="External"/><Relationship Id="rId84" Type="http://schemas.openxmlformats.org/officeDocument/2006/relationships/hyperlink" Target="http://services.igi-global.com/resolvedoi/resolve.aspx?doi=10.4018/978-1-7998-2433-6" TargetMode="External"/><Relationship Id="rId138" Type="http://schemas.openxmlformats.org/officeDocument/2006/relationships/hyperlink" Target="http://services.igi-global.com/resolvedoi/resolve.aspx?doi=10.4018/978-1-5225-8066-9" TargetMode="External"/><Relationship Id="rId159" Type="http://schemas.openxmlformats.org/officeDocument/2006/relationships/hyperlink" Target="http://services.igi-global.com/resolvedoi/resolve.aspx?doi=10.4018/978-1-7998-5092-2" TargetMode="External"/><Relationship Id="rId170" Type="http://schemas.openxmlformats.org/officeDocument/2006/relationships/hyperlink" Target="http://services.igi-global.com/resolvedoi/resolve.aspx?doi=10.4018/978-1-5225-5709-8" TargetMode="External"/><Relationship Id="rId191" Type="http://schemas.openxmlformats.org/officeDocument/2006/relationships/hyperlink" Target="http://services.igi-global.com/resolvedoi/resolve.aspx?doi=10.4018/978-1-7998-1546-4" TargetMode="External"/><Relationship Id="rId205" Type="http://schemas.openxmlformats.org/officeDocument/2006/relationships/hyperlink" Target="http://services.igi-global.com/resolvedoi/resolve.aspx?doi=10.4018/978-1-7998-2253-0" TargetMode="External"/><Relationship Id="rId226" Type="http://schemas.openxmlformats.org/officeDocument/2006/relationships/hyperlink" Target="http://services.igi-global.com/resolvedoi/resolve.aspx?doi=10.4018/978-1-7998-5068-7" TargetMode="External"/><Relationship Id="rId107" Type="http://schemas.openxmlformats.org/officeDocument/2006/relationships/hyperlink" Target="http://services.igi-global.com/resolvedoi/resolve.aspx?doi=10.4018/978-1-7998-3292-8" TargetMode="External"/><Relationship Id="rId11" Type="http://schemas.openxmlformats.org/officeDocument/2006/relationships/hyperlink" Target="http://services.igi-global.com/resolvedoi/resolve.aspx?doi=10.4018/978-1-5225-1991-1" TargetMode="External"/><Relationship Id="rId32" Type="http://schemas.openxmlformats.org/officeDocument/2006/relationships/hyperlink" Target="http://services.igi-global.com/resolvedoi/resolve.aspx?doi=10.4018/978-1-5225-7504-7" TargetMode="External"/><Relationship Id="rId53" Type="http://schemas.openxmlformats.org/officeDocument/2006/relationships/hyperlink" Target="http://services.igi-global.com/resolvedoi/resolve.aspx?doi=10.4018/978-1-5225-9261-7" TargetMode="External"/><Relationship Id="rId74" Type="http://schemas.openxmlformats.org/officeDocument/2006/relationships/hyperlink" Target="http://services.igi-global.com/resolvedoi/resolve.aspx?doi=10.4018/978-1-7998-1931-8" TargetMode="External"/><Relationship Id="rId128" Type="http://schemas.openxmlformats.org/officeDocument/2006/relationships/hyperlink" Target="http://services.igi-global.com/resolvedoi/resolve.aspx?doi=10.4018/978-1-7998-4784-7" TargetMode="External"/><Relationship Id="rId149" Type="http://schemas.openxmlformats.org/officeDocument/2006/relationships/hyperlink" Target="http://services.igi-global.com/resolvedoi/resolve.aspx?doi=10.4018/978-1-7998-1371-2" TargetMode="External"/><Relationship Id="rId5" Type="http://schemas.openxmlformats.org/officeDocument/2006/relationships/hyperlink" Target="http://services.igi-global.com/resolvedoi/resolve.aspx?doi=10.4018/978-1-4666-6547-7" TargetMode="External"/><Relationship Id="rId95" Type="http://schemas.openxmlformats.org/officeDocument/2006/relationships/hyperlink" Target="http://services.igi-global.com/resolvedoi/resolve.aspx?doi=10.4018/978-1-7998-2063-5" TargetMode="External"/><Relationship Id="rId160" Type="http://schemas.openxmlformats.org/officeDocument/2006/relationships/hyperlink" Target="http://ebooks.windeal.com.tw/ios/cover.asp?isbn=9781614998754" TargetMode="External"/><Relationship Id="rId181" Type="http://schemas.openxmlformats.org/officeDocument/2006/relationships/hyperlink" Target="http://services.igi-global.com/resolvedoi/resolve.aspx?doi=10.4018/978-1-5225-9742-1" TargetMode="External"/><Relationship Id="rId216" Type="http://schemas.openxmlformats.org/officeDocument/2006/relationships/hyperlink" Target="http://services.igi-global.com/resolvedoi/resolve.aspx?doi=10.4018/978-1-7998-3222-5" TargetMode="External"/><Relationship Id="rId22" Type="http://schemas.openxmlformats.org/officeDocument/2006/relationships/hyperlink" Target="http://services.igi-global.com/resolvedoi/resolve.aspx?doi=10.4018/978-1-5225-7817-8" TargetMode="External"/><Relationship Id="rId43" Type="http://schemas.openxmlformats.org/officeDocument/2006/relationships/hyperlink" Target="http://services.igi-global.com/resolvedoi/resolve.aspx?doi=10.4018/978-1-5225-7865-9" TargetMode="External"/><Relationship Id="rId64" Type="http://schemas.openxmlformats.org/officeDocument/2006/relationships/hyperlink" Target="http://services.igi-global.com/resolvedoi/resolve.aspx?doi=10.4018/978-1-7998-1041-4" TargetMode="External"/><Relationship Id="rId118" Type="http://schemas.openxmlformats.org/officeDocument/2006/relationships/hyperlink" Target="http://services.igi-global.com/resolvedoi/resolve.aspx?doi=10.4018/978-1-7998-3677-3" TargetMode="External"/><Relationship Id="rId139" Type="http://schemas.openxmlformats.org/officeDocument/2006/relationships/hyperlink" Target="http://services.igi-global.com/resolvedoi/resolve.aspx?doi=10.4018/978-1-5225-7131-5" TargetMode="External"/><Relationship Id="rId85" Type="http://schemas.openxmlformats.org/officeDocument/2006/relationships/hyperlink" Target="http://services.igi-global.com/resolvedoi/resolve.aspx?doi=10.4018/978-1-7998-1423-8" TargetMode="External"/><Relationship Id="rId150" Type="http://schemas.openxmlformats.org/officeDocument/2006/relationships/hyperlink" Target="http://services.igi-global.com/resolvedoi/resolve.aspx?doi=10.4018/978-1-7998-1867-0" TargetMode="External"/><Relationship Id="rId171" Type="http://schemas.openxmlformats.org/officeDocument/2006/relationships/hyperlink" Target="http://services.igi-global.com/resolvedoi/resolve.aspx?doi=10.4018/978-1-5225-8555-8" TargetMode="External"/><Relationship Id="rId192" Type="http://schemas.openxmlformats.org/officeDocument/2006/relationships/hyperlink" Target="http://services.igi-global.com/resolvedoi/resolve.aspx?doi=10.4018/978-1-7998-1831-1" TargetMode="External"/><Relationship Id="rId206" Type="http://schemas.openxmlformats.org/officeDocument/2006/relationships/hyperlink" Target="http://services.igi-global.com/resolvedoi/resolve.aspx?doi=10.4018/978-1-7998-2418-3" TargetMode="External"/><Relationship Id="rId227" Type="http://schemas.openxmlformats.org/officeDocument/2006/relationships/hyperlink" Target="http://services.igi-global.com/resolvedoi/resolve.aspx?doi=10.4018/978-1-7998-5071-7" TargetMode="External"/><Relationship Id="rId12" Type="http://schemas.openxmlformats.org/officeDocument/2006/relationships/hyperlink" Target="http://services.igi-global.com/resolvedoi/resolve.aspx?doi=10.4018/978-1-5225-0507-5" TargetMode="External"/><Relationship Id="rId33" Type="http://schemas.openxmlformats.org/officeDocument/2006/relationships/hyperlink" Target="http://services.igi-global.com/resolvedoi/resolve.aspx?doi=10.4018/978-1-5225-7413-2" TargetMode="External"/><Relationship Id="rId108" Type="http://schemas.openxmlformats.org/officeDocument/2006/relationships/hyperlink" Target="http://services.igi-global.com/resolvedoi/resolve.aspx?doi=10.4018/978-1-7998-3187-7" TargetMode="External"/><Relationship Id="rId129" Type="http://schemas.openxmlformats.org/officeDocument/2006/relationships/hyperlink" Target="http://services.igi-global.com/resolvedoi/resolve.aspx?doi=10.4018/978-1-7998-4787-8" TargetMode="External"/><Relationship Id="rId54" Type="http://schemas.openxmlformats.org/officeDocument/2006/relationships/hyperlink" Target="http://services.igi-global.com/resolvedoi/resolve.aspx?doi=10.4018/978-1-5225-8088-1" TargetMode="External"/><Relationship Id="rId75" Type="http://schemas.openxmlformats.org/officeDocument/2006/relationships/hyperlink" Target="http://services.igi-global.com/resolvedoi/resolve.aspx?doi=10.4018/978-1-7998-1196-1" TargetMode="External"/><Relationship Id="rId96" Type="http://schemas.openxmlformats.org/officeDocument/2006/relationships/hyperlink" Target="http://services.igi-global.com/resolvedoi/resolve.aspx?doi=10.4018/978-1-7998-1989-9" TargetMode="External"/><Relationship Id="rId140" Type="http://schemas.openxmlformats.org/officeDocument/2006/relationships/hyperlink" Target="http://services.igi-global.com/resolvedoi/resolve.aspx?doi=10.4018/978-1-5225-6111-8" TargetMode="External"/><Relationship Id="rId161" Type="http://schemas.openxmlformats.org/officeDocument/2006/relationships/hyperlink" Target="http://ebooks.windeal.com.tw/ios/cover.asp?isbn=9781614999652" TargetMode="External"/><Relationship Id="rId182" Type="http://schemas.openxmlformats.org/officeDocument/2006/relationships/hyperlink" Target="http://services.igi-global.com/resolvedoi/resolve.aspx?doi=10.4018/978-1-5225-9574-8" TargetMode="External"/><Relationship Id="rId217" Type="http://schemas.openxmlformats.org/officeDocument/2006/relationships/hyperlink" Target="http://services.igi-global.com/resolvedoi/resolve.aspx?doi=10.4018/978-1-7998-3632-2" TargetMode="External"/><Relationship Id="rId6" Type="http://schemas.openxmlformats.org/officeDocument/2006/relationships/hyperlink" Target="http://services.igi-global.com/resolvedoi/resolve.aspx?doi=10.4018/978-1-5225-0013-1" TargetMode="External"/><Relationship Id="rId23" Type="http://schemas.openxmlformats.org/officeDocument/2006/relationships/hyperlink" Target="http://services.igi-global.com/resolvedoi/resolve.aspx?doi=10.4018/978-1-5225-7356-2" TargetMode="External"/><Relationship Id="rId119" Type="http://schemas.openxmlformats.org/officeDocument/2006/relationships/hyperlink" Target="http://services.igi-global.com/resolvedoi/resolve.aspx?doi=10.4018/978-1-7998-3725-1" TargetMode="External"/><Relationship Id="rId44" Type="http://schemas.openxmlformats.org/officeDocument/2006/relationships/hyperlink" Target="http://services.igi-global.com/resolvedoi/resolve.aspx?doi=10.4018/978-1-5225-7399-9" TargetMode="External"/><Relationship Id="rId65" Type="http://schemas.openxmlformats.org/officeDocument/2006/relationships/hyperlink" Target="http://services.igi-global.com/resolvedoi/resolve.aspx?doi=10.4018/978-1-7998-1223-4" TargetMode="External"/><Relationship Id="rId86" Type="http://schemas.openxmlformats.org/officeDocument/2006/relationships/hyperlink" Target="http://services.igi-global.com/resolvedoi/resolve.aspx?doi=10.4018/978-1-7998-1431-3" TargetMode="External"/><Relationship Id="rId130" Type="http://schemas.openxmlformats.org/officeDocument/2006/relationships/hyperlink" Target="http://services.igi-global.com/resolvedoi/resolve.aspx?doi=10.4018/978-1-7998-4852-3" TargetMode="External"/><Relationship Id="rId151" Type="http://schemas.openxmlformats.org/officeDocument/2006/relationships/hyperlink" Target="http://services.igi-global.com/resolvedoi/resolve.aspx?doi=10.4018/978-1-7998-2094-9" TargetMode="External"/><Relationship Id="rId172" Type="http://schemas.openxmlformats.org/officeDocument/2006/relationships/hyperlink" Target="http://services.igi-global.com/resolvedoi/resolve.aspx?doi=10.4018/978-1-5225-9257-0" TargetMode="External"/><Relationship Id="rId193" Type="http://schemas.openxmlformats.org/officeDocument/2006/relationships/hyperlink" Target="http://services.igi-global.com/resolvedoi/resolve.aspx?doi=10.4018/978-1-7998-1382-8" TargetMode="External"/><Relationship Id="rId207" Type="http://schemas.openxmlformats.org/officeDocument/2006/relationships/hyperlink" Target="http://services.igi-global.com/resolvedoi/resolve.aspx?doi=10.4018/978-1-7998-2426-8" TargetMode="External"/><Relationship Id="rId228" Type="http://schemas.openxmlformats.org/officeDocument/2006/relationships/printerSettings" Target="../printerSettings/printerSettings4.bin"/><Relationship Id="rId13" Type="http://schemas.openxmlformats.org/officeDocument/2006/relationships/hyperlink" Target="http://services.igi-global.com/resolvedoi/resolve.aspx?doi=10.4018/978-1-5225-0516-7" TargetMode="External"/><Relationship Id="rId109" Type="http://schemas.openxmlformats.org/officeDocument/2006/relationships/hyperlink" Target="http://services.igi-global.com/resolvedoi/resolve.aspx?doi=10.4018/978-1-7998-3049-8" TargetMode="External"/><Relationship Id="rId34" Type="http://schemas.openxmlformats.org/officeDocument/2006/relationships/hyperlink" Target="http://services.igi-global.com/resolvedoi/resolve.aspx?doi=10.4018/978-1-5225-6998-5" TargetMode="External"/><Relationship Id="rId55" Type="http://schemas.openxmlformats.org/officeDocument/2006/relationships/hyperlink" Target="http://services.igi-global.com/resolvedoi/resolve.aspx?doi=10.4018/978-1-7998-2711-5" TargetMode="External"/><Relationship Id="rId76" Type="http://schemas.openxmlformats.org/officeDocument/2006/relationships/hyperlink" Target="http://services.igi-global.com/resolvedoi/resolve.aspx?doi=10.4018/978-1-7998-1461-0" TargetMode="External"/><Relationship Id="rId97" Type="http://schemas.openxmlformats.org/officeDocument/2006/relationships/hyperlink" Target="http://services.igi-global.com/resolvedoi/resolve.aspx?doi=10.4018/978-1-7998-2436-7" TargetMode="External"/><Relationship Id="rId120" Type="http://schemas.openxmlformats.org/officeDocument/2006/relationships/hyperlink" Target="http://services.igi-global.com/resolvedoi/resolve.aspx?doi=10.4018/978-1-7998-3805-0" TargetMode="External"/><Relationship Id="rId141" Type="http://schemas.openxmlformats.org/officeDocument/2006/relationships/hyperlink" Target="http://services.igi-global.com/resolvedoi/resolve.aspx?doi=10.4018/978-1-5225-7402-6" TargetMode="External"/><Relationship Id="rId7" Type="http://schemas.openxmlformats.org/officeDocument/2006/relationships/hyperlink" Target="http://services.igi-global.com/resolvedoi/resolve.aspx?doi=10.4018/978-1-4666-9667-9" TargetMode="External"/><Relationship Id="rId162" Type="http://schemas.openxmlformats.org/officeDocument/2006/relationships/hyperlink" Target="http://services.igi-global.com/resolvedoi/resolve.aspx?doi=10.4018/978-1-4666-8111-8" TargetMode="External"/><Relationship Id="rId183" Type="http://schemas.openxmlformats.org/officeDocument/2006/relationships/hyperlink" Target="http://services.igi-global.com/resolvedoi/resolve.aspx?doi=10.4018/978-1-5225-9750-6" TargetMode="External"/><Relationship Id="rId218" Type="http://schemas.openxmlformats.org/officeDocument/2006/relationships/hyperlink" Target="http://services.igi-global.com/resolvedoi/resolve.aspx?doi=10.4018/978-1-7998-1647-8" TargetMode="External"/><Relationship Id="rId24" Type="http://schemas.openxmlformats.org/officeDocument/2006/relationships/hyperlink" Target="http://services.igi-global.com/resolvedoi/resolve.aspx?doi=10.4018/978-1-5225-7715-7" TargetMode="External"/><Relationship Id="rId45" Type="http://schemas.openxmlformats.org/officeDocument/2006/relationships/hyperlink" Target="http://services.igi-global.com/resolvedoi/resolve.aspx?doi=10.4018/978-1-5225-7567-2" TargetMode="External"/><Relationship Id="rId66" Type="http://schemas.openxmlformats.org/officeDocument/2006/relationships/hyperlink" Target="http://services.igi-global.com/resolvedoi/resolve.aspx?doi=10.4018/978-1-7998-0257-0" TargetMode="External"/><Relationship Id="rId87" Type="http://schemas.openxmlformats.org/officeDocument/2006/relationships/hyperlink" Target="http://services.igi-global.com/resolvedoi/resolve.aspx?doi=10.4018/978-1-7998-1492-4" TargetMode="External"/><Relationship Id="rId110" Type="http://schemas.openxmlformats.org/officeDocument/2006/relationships/hyperlink" Target="http://services.igi-global.com/resolvedoi/resolve.aspx?doi=10.4018/978-1-7998-3257-7" TargetMode="External"/><Relationship Id="rId131" Type="http://schemas.openxmlformats.org/officeDocument/2006/relationships/hyperlink" Target="http://services.igi-global.com/resolvedoi/resolve.aspx?doi=10.4018/978-1-7998-4861-5" TargetMode="External"/><Relationship Id="rId152" Type="http://schemas.openxmlformats.org/officeDocument/2006/relationships/hyperlink" Target="http://services.igi-global.com/resolvedoi/resolve.aspx?doi=10.4018/978-1-7998-2952-2" TargetMode="External"/><Relationship Id="rId173" Type="http://schemas.openxmlformats.org/officeDocument/2006/relationships/hyperlink" Target="http://services.igi-global.com/resolvedoi/resolve.aspx?doi=10.4018/978-1-5225-9578-6" TargetMode="External"/><Relationship Id="rId194" Type="http://schemas.openxmlformats.org/officeDocument/2006/relationships/hyperlink" Target="http://services.igi-global.com/resolvedoi/resolve.aspx?doi=10.4018/978-1-7998-1796-3" TargetMode="External"/><Relationship Id="rId208" Type="http://schemas.openxmlformats.org/officeDocument/2006/relationships/hyperlink" Target="http://services.igi-global.com/resolvedoi/resolve.aspx?doi=10.4018/978-1-7998-2570-8" TargetMode="External"/><Relationship Id="rId229" Type="http://schemas.openxmlformats.org/officeDocument/2006/relationships/table" Target="../tables/table10.xml"/><Relationship Id="rId14" Type="http://schemas.openxmlformats.org/officeDocument/2006/relationships/hyperlink" Target="http://services.igi-global.com/resolvedoi/resolve.aspx?doi=10.4018/978-1-5225-5213-0" TargetMode="External"/><Relationship Id="rId35" Type="http://schemas.openxmlformats.org/officeDocument/2006/relationships/hyperlink" Target="http://services.igi-global.com/resolvedoi/resolve.aspx?doi=10.4018/978-1-5225-7555-9" TargetMode="External"/><Relationship Id="rId56" Type="http://schemas.openxmlformats.org/officeDocument/2006/relationships/hyperlink" Target="http://services.igi-global.com/resolvedoi/resolve.aspx?doi=10.4018/978-1-5225-9195-5" TargetMode="External"/><Relationship Id="rId77" Type="http://schemas.openxmlformats.org/officeDocument/2006/relationships/hyperlink" Target="http://services.igi-global.com/resolvedoi/resolve.aspx?doi=10.4018/978-1-5225-9787-2" TargetMode="External"/><Relationship Id="rId100" Type="http://schemas.openxmlformats.org/officeDocument/2006/relationships/hyperlink" Target="http://services.igi-global.com/resolvedoi/resolve.aspx?doi=10.4018/978-1-7998-2136-6" TargetMode="External"/><Relationship Id="rId8" Type="http://schemas.openxmlformats.org/officeDocument/2006/relationships/hyperlink" Target="http://services.igi-global.com/resolvedoi/resolve.aspx?doi=10.4018/978-1-4666-9616-7" TargetMode="External"/><Relationship Id="rId98" Type="http://schemas.openxmlformats.org/officeDocument/2006/relationships/hyperlink" Target="http://services.igi-global.com/resolvedoi/resolve.aspx?doi=10.4018/978-1-7998-3030-6" TargetMode="External"/><Relationship Id="rId121" Type="http://schemas.openxmlformats.org/officeDocument/2006/relationships/hyperlink" Target="http://services.igi-global.com/resolvedoi/resolve.aspx?doi=10.4018/978-1-7998-4330-6" TargetMode="External"/><Relationship Id="rId142" Type="http://schemas.openxmlformats.org/officeDocument/2006/relationships/hyperlink" Target="http://services.igi-global.com/resolvedoi/resolve.aspx?doi=10.4018/978-1-5225-9651-6" TargetMode="External"/><Relationship Id="rId163" Type="http://schemas.openxmlformats.org/officeDocument/2006/relationships/hyperlink" Target="http://services.igi-global.com/resolvedoi/resolve.aspx?doi=10.4018/978-1-4666-6379-4" TargetMode="External"/><Relationship Id="rId184" Type="http://schemas.openxmlformats.org/officeDocument/2006/relationships/hyperlink" Target="http://services.igi-global.com/resolvedoi/resolve.aspx?doi=10.4018/978-1-5225-9687-5" TargetMode="External"/><Relationship Id="rId219" Type="http://schemas.openxmlformats.org/officeDocument/2006/relationships/hyperlink" Target="http://services.igi-global.com/resolvedoi/resolve.aspx?doi=10.4018/978-1-7998-3499-1" TargetMode="External"/><Relationship Id="rId25" Type="http://schemas.openxmlformats.org/officeDocument/2006/relationships/hyperlink" Target="http://services.igi-global.com/resolvedoi/resolve.aspx?doi=10.4018/978-1-5225-7799-7" TargetMode="External"/><Relationship Id="rId46" Type="http://schemas.openxmlformats.org/officeDocument/2006/relationships/hyperlink" Target="http://services.igi-global.com/resolvedoi/resolve.aspx?doi=10.4018/978-1-5225-8018-8" TargetMode="External"/><Relationship Id="rId67" Type="http://schemas.openxmlformats.org/officeDocument/2006/relationships/hyperlink" Target="http://services.igi-global.com/resolvedoi/resolve.aspx?doi=10.4018/978-1-7998-0186-3" TargetMode="External"/><Relationship Id="rId116" Type="http://schemas.openxmlformats.org/officeDocument/2006/relationships/hyperlink" Target="http://services.igi-global.com/resolvedoi/resolve.aspx?doi=10.4018/978-1-7998-4607-9" TargetMode="External"/><Relationship Id="rId137" Type="http://schemas.openxmlformats.org/officeDocument/2006/relationships/hyperlink" Target="http://services.igi-global.com/resolvedoi/resolve.aspx?doi=10.4018/978-1-5225-3480-8" TargetMode="External"/><Relationship Id="rId158" Type="http://schemas.openxmlformats.org/officeDocument/2006/relationships/hyperlink" Target="http://services.igi-global.com/resolvedoi/resolve.aspx?doi=10.4018/978-1-7998-3741-1" TargetMode="External"/><Relationship Id="rId20" Type="http://schemas.openxmlformats.org/officeDocument/2006/relationships/hyperlink" Target="http://services.igi-global.com/resolvedoi/resolve.aspx?doi=10.4018/978-1-5225-7638-9" TargetMode="External"/><Relationship Id="rId41" Type="http://schemas.openxmlformats.org/officeDocument/2006/relationships/hyperlink" Target="http://services.igi-global.com/resolvedoi/resolve.aspx?doi=10.4018/978-1-5225-5366-3" TargetMode="External"/><Relationship Id="rId62" Type="http://schemas.openxmlformats.org/officeDocument/2006/relationships/hyperlink" Target="http://services.igi-global.com/resolvedoi/resolve.aspx?doi=10.4018/978-1-5225-9783-4" TargetMode="External"/><Relationship Id="rId83" Type="http://schemas.openxmlformats.org/officeDocument/2006/relationships/hyperlink" Target="http://services.igi-global.com/resolvedoi/resolve.aspx?doi=10.4018/978-1-7998-1213-5" TargetMode="External"/><Relationship Id="rId88" Type="http://schemas.openxmlformats.org/officeDocument/2006/relationships/hyperlink" Target="http://services.igi-global.com/resolvedoi/resolve.aspx?doi=10.4018/978-1-7998-1474-0" TargetMode="External"/><Relationship Id="rId111" Type="http://schemas.openxmlformats.org/officeDocument/2006/relationships/hyperlink" Target="http://services.igi-global.com/resolvedoi/resolve.aspx?doi=10.4018/978-1-7998-3576-9" TargetMode="External"/><Relationship Id="rId132" Type="http://schemas.openxmlformats.org/officeDocument/2006/relationships/hyperlink" Target="http://services.igi-global.com/resolvedoi/resolve.aspx?doi=10.4018/978-1-7998-5077-9" TargetMode="External"/><Relationship Id="rId153" Type="http://schemas.openxmlformats.org/officeDocument/2006/relationships/hyperlink" Target="http://services.igi-global.com/resolvedoi/resolve.aspx?doi=10.4018/978-1-7998-2599-9" TargetMode="External"/><Relationship Id="rId174" Type="http://schemas.openxmlformats.org/officeDocument/2006/relationships/hyperlink" Target="http://services.igi-global.com/resolvedoi/resolve.aspx?doi=10.4018/978-1-5225-8033-1" TargetMode="External"/><Relationship Id="rId179" Type="http://schemas.openxmlformats.org/officeDocument/2006/relationships/hyperlink" Target="http://services.igi-global.com/resolvedoi/resolve.aspx?doi=10.4018/978-1-7998-0137-5" TargetMode="External"/><Relationship Id="rId195" Type="http://schemas.openxmlformats.org/officeDocument/2006/relationships/hyperlink" Target="http://services.igi-global.com/resolvedoi/resolve.aspx?doi=10.4018/978-1-5225-9932-6" TargetMode="External"/><Relationship Id="rId209" Type="http://schemas.openxmlformats.org/officeDocument/2006/relationships/hyperlink" Target="http://services.igi-global.com/resolvedoi/resolve.aspx?doi=10.4018/978-1-7998-2718-4" TargetMode="External"/><Relationship Id="rId190" Type="http://schemas.openxmlformats.org/officeDocument/2006/relationships/hyperlink" Target="http://services.igi-global.com/resolvedoi/resolve.aspx?doi=10.4018/978-1-7998-1530-3" TargetMode="External"/><Relationship Id="rId204" Type="http://schemas.openxmlformats.org/officeDocument/2006/relationships/hyperlink" Target="http://services.igi-global.com/resolvedoi/resolve.aspx?doi=10.4018/978-1-7998-1966-0" TargetMode="External"/><Relationship Id="rId220" Type="http://schemas.openxmlformats.org/officeDocument/2006/relationships/hyperlink" Target="http://services.igi-global.com/resolvedoi/resolve.aspx?doi=10.4018/978-1-7998-2795-5" TargetMode="External"/><Relationship Id="rId225" Type="http://schemas.openxmlformats.org/officeDocument/2006/relationships/hyperlink" Target="http://services.igi-global.com/resolvedoi/resolve.aspx?doi=10.4018/978-1-7998-4888-2" TargetMode="External"/><Relationship Id="rId15" Type="http://schemas.openxmlformats.org/officeDocument/2006/relationships/hyperlink" Target="http://services.igi-global.com/resolvedoi/resolve.aspx?doi=10.4018/978-1-5225-3776-2" TargetMode="External"/><Relationship Id="rId36" Type="http://schemas.openxmlformats.org/officeDocument/2006/relationships/hyperlink" Target="http://services.igi-global.com/resolvedoi/resolve.aspx?doi=10.4018/978-1-5225-6283-2" TargetMode="External"/><Relationship Id="rId57" Type="http://schemas.openxmlformats.org/officeDocument/2006/relationships/hyperlink" Target="http://services.igi-global.com/resolvedoi/resolve.aspx?doi=10.4018/978-1-7998-0128-3" TargetMode="External"/><Relationship Id="rId106" Type="http://schemas.openxmlformats.org/officeDocument/2006/relationships/hyperlink" Target="http://services.igi-global.com/resolvedoi/resolve.aspx?doi=10.4018/978-1-7998-0969-2" TargetMode="External"/><Relationship Id="rId127" Type="http://schemas.openxmlformats.org/officeDocument/2006/relationships/hyperlink" Target="http://services.igi-global.com/resolvedoi/resolve.aspx?doi=10.4018/978-1-7998-4628-4" TargetMode="External"/><Relationship Id="rId10" Type="http://schemas.openxmlformats.org/officeDocument/2006/relationships/hyperlink" Target="http://services.igi-global.com/resolvedoi/resolve.aspx?doi=10.4018/978-1-5225-2061-0" TargetMode="External"/><Relationship Id="rId31" Type="http://schemas.openxmlformats.org/officeDocument/2006/relationships/hyperlink" Target="http://services.igi-global.com/resolvedoi/resolve.aspx?doi=10.4018/978-1-5225-7579-5" TargetMode="External"/><Relationship Id="rId52" Type="http://schemas.openxmlformats.org/officeDocument/2006/relationships/hyperlink" Target="http://services.igi-global.com/resolvedoi/resolve.aspx?doi=10.4018/978-1-5225-9078-1" TargetMode="External"/><Relationship Id="rId73" Type="http://schemas.openxmlformats.org/officeDocument/2006/relationships/hyperlink" Target="http://services.igi-global.com/resolvedoi/resolve.aspx?doi=10.4018/978-1-7998-1635-5" TargetMode="External"/><Relationship Id="rId78" Type="http://schemas.openxmlformats.org/officeDocument/2006/relationships/hyperlink" Target="http://services.igi-global.com/resolvedoi/resolve.aspx?doi=10.4018/978-1-7998-1108-4" TargetMode="External"/><Relationship Id="rId94" Type="http://schemas.openxmlformats.org/officeDocument/2006/relationships/hyperlink" Target="http://services.igi-global.com/resolvedoi/resolve.aspx?doi=10.4018/978-1-7998-1302-6" TargetMode="External"/><Relationship Id="rId99" Type="http://schemas.openxmlformats.org/officeDocument/2006/relationships/hyperlink" Target="http://services.igi-global.com/resolvedoi/resolve.aspx?doi=10.4018/978-1-7998-2440-4" TargetMode="External"/><Relationship Id="rId101" Type="http://schemas.openxmlformats.org/officeDocument/2006/relationships/hyperlink" Target="http://services.igi-global.com/resolvedoi/resolve.aspx?doi=10.4018/978-1-7998-2603-3" TargetMode="External"/><Relationship Id="rId122" Type="http://schemas.openxmlformats.org/officeDocument/2006/relationships/hyperlink" Target="http://services.igi-global.com/resolvedoi/resolve.aspx?doi=10.4018/978-1-7998-4420-4" TargetMode="External"/><Relationship Id="rId143" Type="http://schemas.openxmlformats.org/officeDocument/2006/relationships/hyperlink" Target="http://services.igi-global.com/resolvedoi/resolve.aspx?doi=10.4018/978-1-5225-9254-9" TargetMode="External"/><Relationship Id="rId148" Type="http://schemas.openxmlformats.org/officeDocument/2006/relationships/hyperlink" Target="http://services.igi-global.com/resolvedoi/resolve.aspx?doi=10.4018/978-1-7998-1937-0" TargetMode="External"/><Relationship Id="rId164" Type="http://schemas.openxmlformats.org/officeDocument/2006/relationships/hyperlink" Target="http://services.igi-global.com/resolvedoi/resolve.aspx?doi=10.4018/978-1-5225-5091-4" TargetMode="External"/><Relationship Id="rId169" Type="http://schemas.openxmlformats.org/officeDocument/2006/relationships/hyperlink" Target="http://services.igi-global.com/resolvedoi/resolve.aspx?doi=10.4018/978-1-5225-7277-0" TargetMode="External"/><Relationship Id="rId185" Type="http://schemas.openxmlformats.org/officeDocument/2006/relationships/hyperlink" Target="http://services.igi-global.com/resolvedoi/resolve.aspx?doi=10.4018/978-1-7998-0117-7" TargetMode="External"/><Relationship Id="rId4" Type="http://schemas.openxmlformats.org/officeDocument/2006/relationships/hyperlink" Target="http://services.igi-global.com/resolvedoi/resolve.aspx?doi=10.4018/978-1-4666-6543-9" TargetMode="External"/><Relationship Id="rId9" Type="http://schemas.openxmlformats.org/officeDocument/2006/relationships/hyperlink" Target="http://services.igi-global.com/resolvedoi/resolve.aspx?doi=10.4018/978-1-5225-2245-4" TargetMode="External"/><Relationship Id="rId180" Type="http://schemas.openxmlformats.org/officeDocument/2006/relationships/hyperlink" Target="http://services.igi-global.com/resolvedoi/resolve.aspx?doi=10.4018/978-1-5225-9624-0" TargetMode="External"/><Relationship Id="rId210" Type="http://schemas.openxmlformats.org/officeDocument/2006/relationships/hyperlink" Target="http://services.igi-global.com/resolvedoi/resolve.aspx?doi=10.4018/978-1-7998-2414-5" TargetMode="External"/><Relationship Id="rId215" Type="http://schemas.openxmlformats.org/officeDocument/2006/relationships/hyperlink" Target="http://services.igi-global.com/resolvedoi/resolve.aspx?doi=10.4018/978-1-7998-3444-1" TargetMode="External"/><Relationship Id="rId26" Type="http://schemas.openxmlformats.org/officeDocument/2006/relationships/hyperlink" Target="http://services.igi-global.com/resolvedoi/resolve.aspx?doi=10.4018/978-1-5225-7949-6" TargetMode="External"/><Relationship Id="rId47" Type="http://schemas.openxmlformats.org/officeDocument/2006/relationships/hyperlink" Target="http://services.igi-global.com/resolvedoi/resolve.aspx?doi=10.4018/978-1-5225-8570-1" TargetMode="External"/><Relationship Id="rId68" Type="http://schemas.openxmlformats.org/officeDocument/2006/relationships/hyperlink" Target="http://services.igi-global.com/resolvedoi/resolve.aspx?doi=10.4018/978-1-7998-0319-5" TargetMode="External"/><Relationship Id="rId89" Type="http://schemas.openxmlformats.org/officeDocument/2006/relationships/hyperlink" Target="http://services.igi-global.com/resolvedoi/resolve.aspx?doi=10.4018/978-1-7998-1730-7" TargetMode="External"/><Relationship Id="rId112" Type="http://schemas.openxmlformats.org/officeDocument/2006/relationships/hyperlink" Target="http://services.igi-global.com/resolvedoi/resolve.aspx?doi=10.4018/978-1-7998-1526-6" TargetMode="External"/><Relationship Id="rId133" Type="http://schemas.openxmlformats.org/officeDocument/2006/relationships/hyperlink" Target="http://services.igi-global.com/resolvedoi/resolve.aspx?doi=10.4018/978-1-7998-5083-0" TargetMode="External"/><Relationship Id="rId154" Type="http://schemas.openxmlformats.org/officeDocument/2006/relationships/hyperlink" Target="http://services.igi-global.com/resolvedoi/resolve.aspx?doi=10.4018/978-1-7998-3456-4" TargetMode="External"/><Relationship Id="rId175" Type="http://schemas.openxmlformats.org/officeDocument/2006/relationships/hyperlink" Target="http://services.igi-global.com/resolvedoi/resolve.aspx?doi=10.4018/978-1-5225-9276-1" TargetMode="External"/><Relationship Id="rId196" Type="http://schemas.openxmlformats.org/officeDocument/2006/relationships/hyperlink" Target="http://services.igi-global.com/resolvedoi/resolve.aspx?doi=10.4018/978-1-7998-1192-3" TargetMode="External"/><Relationship Id="rId200" Type="http://schemas.openxmlformats.org/officeDocument/2006/relationships/hyperlink" Target="http://services.igi-global.com/resolvedoi/resolve.aspx?doi=10.4018/978-1-7998-1518-1" TargetMode="External"/><Relationship Id="rId16" Type="http://schemas.openxmlformats.org/officeDocument/2006/relationships/hyperlink" Target="http://services.igi-global.com/resolvedoi/resolve.aspx?doi=10.4018/978-1-5225-5085-3" TargetMode="External"/><Relationship Id="rId221" Type="http://schemas.openxmlformats.org/officeDocument/2006/relationships/hyperlink" Target="http://services.igi-global.com/resolvedoi/resolve.aspx?doi=10.4018/978-1-7998-3799-2" TargetMode="External"/><Relationship Id="rId37" Type="http://schemas.openxmlformats.org/officeDocument/2006/relationships/hyperlink" Target="http://services.igi-global.com/resolvedoi/resolve.aspx?doi=10.4018/978-1-5225-7027-1" TargetMode="External"/><Relationship Id="rId58" Type="http://schemas.openxmlformats.org/officeDocument/2006/relationships/hyperlink" Target="http://services.igi-global.com/resolvedoi/resolve.aspx?doi=10.4018/978-1-7998-0178-8" TargetMode="External"/><Relationship Id="rId79" Type="http://schemas.openxmlformats.org/officeDocument/2006/relationships/hyperlink" Target="http://services.igi-global.com/resolvedoi/resolve.aspx?doi=10.4018/978-1-5225-9478-9" TargetMode="External"/><Relationship Id="rId102" Type="http://schemas.openxmlformats.org/officeDocument/2006/relationships/hyperlink" Target="http://services.igi-global.com/resolvedoi/resolve.aspx?doi=10.4018/978-1-7998-2204-2" TargetMode="External"/><Relationship Id="rId123" Type="http://schemas.openxmlformats.org/officeDocument/2006/relationships/hyperlink" Target="http://services.igi-global.com/resolvedoi/resolve.aspx?doi=10.4018/978-1-7998-4516-4" TargetMode="External"/><Relationship Id="rId144" Type="http://schemas.openxmlformats.org/officeDocument/2006/relationships/hyperlink" Target="http://services.igi-global.com/resolvedoi/resolve.aspx?doi=10.4018/978-1-7998-0326-3" TargetMode="External"/><Relationship Id="rId90" Type="http://schemas.openxmlformats.org/officeDocument/2006/relationships/hyperlink" Target="http://services.igi-global.com/resolvedoi/resolve.aspx?doi=10.4018/978-1-7998-1835-9" TargetMode="External"/><Relationship Id="rId165" Type="http://schemas.openxmlformats.org/officeDocument/2006/relationships/hyperlink" Target="http://services.igi-global.com/resolvedoi/resolve.aspx?doi=10.4018/978-1-5225-5625-1" TargetMode="External"/><Relationship Id="rId186" Type="http://schemas.openxmlformats.org/officeDocument/2006/relationships/hyperlink" Target="http://services.igi-global.com/resolvedoi/resolve.aspx?doi=10.4018/978-1-7998-0106-1" TargetMode="External"/><Relationship Id="rId211" Type="http://schemas.openxmlformats.org/officeDocument/2006/relationships/hyperlink" Target="http://services.igi-global.com/resolvedoi/resolve.aspx?doi=10.4018/978-1-7998-2772-6" TargetMode="External"/><Relationship Id="rId27" Type="http://schemas.openxmlformats.org/officeDocument/2006/relationships/hyperlink" Target="http://services.igi-global.com/resolvedoi/resolve.aspx?doi=10.4018/978-1-5225-7823-9" TargetMode="External"/><Relationship Id="rId48" Type="http://schemas.openxmlformats.org/officeDocument/2006/relationships/hyperlink" Target="http://services.igi-global.com/resolvedoi/resolve.aspx?doi=10.4018/978-1-5225-4996-3" TargetMode="External"/><Relationship Id="rId69" Type="http://schemas.openxmlformats.org/officeDocument/2006/relationships/hyperlink" Target="http://services.igi-global.com/resolvedoi/resolve.aspx?doi=10.4018/978-1-5225-9304-1" TargetMode="External"/><Relationship Id="rId113" Type="http://schemas.openxmlformats.org/officeDocument/2006/relationships/hyperlink" Target="http://services.igi-global.com/resolvedoi/resolve.aspx?doi=10.4018/978-1-7998-2224-0" TargetMode="External"/><Relationship Id="rId134" Type="http://schemas.openxmlformats.org/officeDocument/2006/relationships/hyperlink" Target="http://services.igi-global.com/resolvedoi/resolve.aspx?doi=10.4018/978-1-4666-9992-2" TargetMode="External"/><Relationship Id="rId80" Type="http://schemas.openxmlformats.org/officeDocument/2006/relationships/hyperlink" Target="http://services.igi-global.com/resolvedoi/resolve.aspx?doi=10.4018/978-1-7998-1486-3" TargetMode="External"/><Relationship Id="rId155" Type="http://schemas.openxmlformats.org/officeDocument/2006/relationships/hyperlink" Target="http://services.igi-global.com/resolvedoi/resolve.aspx?doi=10.4018/978-1-7998-3274-4" TargetMode="External"/><Relationship Id="rId176" Type="http://schemas.openxmlformats.org/officeDocument/2006/relationships/hyperlink" Target="http://services.igi-global.com/resolvedoi/resolve.aspx?doi=10.4018/978-1-5225-9754-4" TargetMode="External"/><Relationship Id="rId197" Type="http://schemas.openxmlformats.org/officeDocument/2006/relationships/hyperlink" Target="http://services.igi-global.com/resolvedoi/resolve.aspx?doi=10.4018/978-1-7998-2142-7" TargetMode="External"/><Relationship Id="rId201" Type="http://schemas.openxmlformats.org/officeDocument/2006/relationships/hyperlink" Target="http://services.igi-global.com/resolvedoi/resolve.aspx?doi=10.4018/978-1-7998-1690-4" TargetMode="External"/><Relationship Id="rId222" Type="http://schemas.openxmlformats.org/officeDocument/2006/relationships/hyperlink" Target="http://services.igi-global.com/resolvedoi/resolve.aspx?doi=10.4018/978-1-7998-4042-8" TargetMode="External"/><Relationship Id="rId17" Type="http://schemas.openxmlformats.org/officeDocument/2006/relationships/hyperlink" Target="http://services.igi-global.com/resolvedoi/resolve.aspx?doi=10.4018/978-1-5225-5369-4" TargetMode="External"/><Relationship Id="rId38" Type="http://schemas.openxmlformats.org/officeDocument/2006/relationships/hyperlink" Target="http://services.igi-global.com/resolvedoi/resolve.aspx?doi=10.4018/978-1-5225-5778-4" TargetMode="External"/><Relationship Id="rId59" Type="http://schemas.openxmlformats.org/officeDocument/2006/relationships/hyperlink" Target="http://services.igi-global.com/resolvedoi/resolve.aspx?doi=10.4018/978-1-5225-9697-4" TargetMode="External"/><Relationship Id="rId103" Type="http://schemas.openxmlformats.org/officeDocument/2006/relationships/hyperlink" Target="http://services.igi-global.com/resolvedoi/resolve.aspx?doi=10.4018/978-1-7998-2959-1" TargetMode="External"/><Relationship Id="rId124" Type="http://schemas.openxmlformats.org/officeDocument/2006/relationships/hyperlink" Target="http://services.igi-global.com/resolvedoi/resolve.aspx?doi=10.4018/978-1-7998-4543-0" TargetMode="External"/><Relationship Id="rId70" Type="http://schemas.openxmlformats.org/officeDocument/2006/relationships/hyperlink" Target="http://services.igi-global.com/resolvedoi/resolve.aspx?doi=10.4018/978-1-7998-0423-9" TargetMode="External"/><Relationship Id="rId91" Type="http://schemas.openxmlformats.org/officeDocument/2006/relationships/hyperlink" Target="http://services.igi-global.com/resolvedoi/resolve.aspx?doi=10.4018/978-1-7998-1882-3" TargetMode="External"/><Relationship Id="rId145" Type="http://schemas.openxmlformats.org/officeDocument/2006/relationships/hyperlink" Target="http://services.igi-global.com/resolvedoi/resolve.aspx?doi=10.4018/978-1-5225-9818-3" TargetMode="External"/><Relationship Id="rId166" Type="http://schemas.openxmlformats.org/officeDocument/2006/relationships/hyperlink" Target="http://services.igi-global.com/resolvedoi/resolve.aspx?doi=10.4018/978-1-5225-5484-4" TargetMode="External"/><Relationship Id="rId187" Type="http://schemas.openxmlformats.org/officeDocument/2006/relationships/hyperlink" Target="http://services.igi-global.com/resolvedoi/resolve.aspx?doi=10.4018/978-1-7998-1415-3" TargetMode="External"/><Relationship Id="rId1" Type="http://schemas.openxmlformats.org/officeDocument/2006/relationships/hyperlink" Target="http://services.igi-global.com/resolvedoi/resolve.aspx?doi=10.4018/978-1-4666-8574-1" TargetMode="External"/><Relationship Id="rId212" Type="http://schemas.openxmlformats.org/officeDocument/2006/relationships/hyperlink" Target="http://services.igi-global.com/resolvedoi/resolve.aspx?doi=10.4018/978-1-7998-3095-5" TargetMode="External"/><Relationship Id="rId28" Type="http://schemas.openxmlformats.org/officeDocument/2006/relationships/hyperlink" Target="http://services.igi-global.com/resolvedoi/resolve.aspx?doi=10.4018/978-1-5225-8009-6" TargetMode="External"/><Relationship Id="rId49" Type="http://schemas.openxmlformats.org/officeDocument/2006/relationships/hyperlink" Target="http://services.igi-global.com/resolvedoi/resolve.aspx?doi=10.4018/978-1-5225-9100-9" TargetMode="External"/><Relationship Id="rId114" Type="http://schemas.openxmlformats.org/officeDocument/2006/relationships/hyperlink" Target="http://services.igi-global.com/resolvedoi/resolve.aspx?doi=10.4018/978-1-7998-4183-8" TargetMode="External"/><Relationship Id="rId60" Type="http://schemas.openxmlformats.org/officeDocument/2006/relationships/hyperlink" Target="http://services.igi-global.com/resolvedoi/resolve.aspx?doi=10.4018/978-1-5225-5412-7" TargetMode="External"/><Relationship Id="rId81" Type="http://schemas.openxmlformats.org/officeDocument/2006/relationships/hyperlink" Target="http://services.igi-global.com/resolvedoi/resolve.aspx?doi=10.4018/978-1-7998-1522-8" TargetMode="External"/><Relationship Id="rId135" Type="http://schemas.openxmlformats.org/officeDocument/2006/relationships/hyperlink" Target="http://services.igi-global.com/resolvedoi/resolve.aspx?doi=10.4018/978-1-5225-0248-7" TargetMode="External"/><Relationship Id="rId156" Type="http://schemas.openxmlformats.org/officeDocument/2006/relationships/hyperlink" Target="http://services.igi-global.com/resolvedoi/resolve.aspx?doi=10.4018/978-1-7998-3591-2" TargetMode="External"/><Relationship Id="rId177" Type="http://schemas.openxmlformats.org/officeDocument/2006/relationships/hyperlink" Target="http://services.igi-global.com/resolvedoi/resolve.aspx?doi=10.4018/978-1-5225-9771-1" TargetMode="External"/><Relationship Id="rId198" Type="http://schemas.openxmlformats.org/officeDocument/2006/relationships/hyperlink" Target="http://services.igi-global.com/resolvedoi/resolve.aspx?doi=10.4018/978-1-7998-1241-8" TargetMode="External"/><Relationship Id="rId202" Type="http://schemas.openxmlformats.org/officeDocument/2006/relationships/hyperlink" Target="http://services.igi-global.com/resolvedoi/resolve.aspx?doi=10.4018/978-1-7998-1710-9" TargetMode="External"/><Relationship Id="rId223" Type="http://schemas.openxmlformats.org/officeDocument/2006/relationships/hyperlink" Target="http://services.igi-global.com/resolvedoi/resolve.aspx?doi=10.4018/978-1-7998-4198-2" TargetMode="External"/><Relationship Id="rId18" Type="http://schemas.openxmlformats.org/officeDocument/2006/relationships/hyperlink" Target="http://services.igi-global.com/resolvedoi/resolve.aspx?doi=10.4018/978-1-5225-3689-5" TargetMode="External"/><Relationship Id="rId39" Type="http://schemas.openxmlformats.org/officeDocument/2006/relationships/hyperlink" Target="http://services.igi-global.com/resolvedoi/resolve.aspx?doi=10.4018/978-1-5225-5936-8" TargetMode="External"/><Relationship Id="rId50" Type="http://schemas.openxmlformats.org/officeDocument/2006/relationships/hyperlink" Target="http://services.igi-global.com/resolvedoi/resolve.aspx?doi=10.4018/978-1-5225-9316-4" TargetMode="External"/><Relationship Id="rId104" Type="http://schemas.openxmlformats.org/officeDocument/2006/relationships/hyperlink" Target="http://services.igi-global.com/resolvedoi/resolve.aspx?doi=10.4018/978-1-7998-2963-8" TargetMode="External"/><Relationship Id="rId125" Type="http://schemas.openxmlformats.org/officeDocument/2006/relationships/hyperlink" Target="http://services.igi-global.com/resolvedoi/resolve.aspx?doi=10.4018/978-1-7998-4552-2" TargetMode="External"/><Relationship Id="rId146" Type="http://schemas.openxmlformats.org/officeDocument/2006/relationships/hyperlink" Target="http://services.igi-global.com/resolvedoi/resolve.aspx?doi=10.4018/978-1-7998-1924-0" TargetMode="External"/><Relationship Id="rId167" Type="http://schemas.openxmlformats.org/officeDocument/2006/relationships/hyperlink" Target="http://services.igi-global.com/resolvedoi/resolve.aspx?doi=10.4018/978-1-5225-3035-0" TargetMode="External"/><Relationship Id="rId188" Type="http://schemas.openxmlformats.org/officeDocument/2006/relationships/hyperlink" Target="http://services.igi-global.com/resolvedoi/resolve.aspx?doi=10.4018/978-1-7998-0190-0" TargetMode="External"/><Relationship Id="rId71" Type="http://schemas.openxmlformats.org/officeDocument/2006/relationships/hyperlink" Target="http://services.igi-global.com/resolvedoi/resolve.aspx?doi=10.4018/978-1-7998-0957-9" TargetMode="External"/><Relationship Id="rId92" Type="http://schemas.openxmlformats.org/officeDocument/2006/relationships/hyperlink" Target="http://services.igi-global.com/resolvedoi/resolve.aspx?doi=10.4018/978-1-7998-1947-9" TargetMode="External"/><Relationship Id="rId213" Type="http://schemas.openxmlformats.org/officeDocument/2006/relationships/hyperlink" Target="http://services.igi-global.com/resolvedoi/resolve.aspx?doi=10.4018/978-1-7998-3295-9" TargetMode="External"/><Relationship Id="rId2" Type="http://schemas.openxmlformats.org/officeDocument/2006/relationships/hyperlink" Target="http://services.igi-global.com/resolvedoi/resolve.aspx?doi=10.4018/978-1-4666-7476-9" TargetMode="External"/><Relationship Id="rId29" Type="http://schemas.openxmlformats.org/officeDocument/2006/relationships/hyperlink" Target="http://services.igi-global.com/resolvedoi/resolve.aspx?doi=10.4018/978-1-5225-7757-7" TargetMode="External"/><Relationship Id="rId40" Type="http://schemas.openxmlformats.org/officeDocument/2006/relationships/hyperlink" Target="http://services.igi-global.com/resolvedoi/resolve.aspx?doi=10.4018/978-1-5225-5918-4" TargetMode="External"/><Relationship Id="rId115" Type="http://schemas.openxmlformats.org/officeDocument/2006/relationships/hyperlink" Target="http://services.igi-global.com/resolvedoi/resolve.aspx?doi=10.4018/978-1-7998-4438-9" TargetMode="External"/><Relationship Id="rId136" Type="http://schemas.openxmlformats.org/officeDocument/2006/relationships/hyperlink" Target="http://services.igi-global.com/resolvedoi/resolve.aspx?doi=10.4018/978-1-5225-0140-4" TargetMode="External"/><Relationship Id="rId157" Type="http://schemas.openxmlformats.org/officeDocument/2006/relationships/hyperlink" Target="http://services.igi-global.com/resolvedoi/resolve.aspx?doi=10.4018/978-1-7998-4357-3" TargetMode="External"/><Relationship Id="rId178" Type="http://schemas.openxmlformats.org/officeDocument/2006/relationships/hyperlink" Target="http://services.igi-global.com/resolvedoi/resolve.aspx?doi=10.4018/978-1-5225-9452-9" TargetMode="External"/><Relationship Id="rId61" Type="http://schemas.openxmlformats.org/officeDocument/2006/relationships/hyperlink" Target="http://services.igi-global.com/resolvedoi/resolve.aspx?doi=10.4018/978-1-5225-9607-3" TargetMode="External"/><Relationship Id="rId82" Type="http://schemas.openxmlformats.org/officeDocument/2006/relationships/hyperlink" Target="http://services.igi-global.com/resolvedoi/resolve.aspx?doi=10.4018/978-1-7998-1207-4" TargetMode="External"/><Relationship Id="rId199" Type="http://schemas.openxmlformats.org/officeDocument/2006/relationships/hyperlink" Target="http://services.igi-global.com/resolvedoi/resolve.aspx?doi=10.4018/978-1-7998-1464-1" TargetMode="External"/><Relationship Id="rId203" Type="http://schemas.openxmlformats.org/officeDocument/2006/relationships/hyperlink" Target="http://services.igi-global.com/resolvedoi/resolve.aspx?doi=10.4018/978-1-7998-1871-7" TargetMode="External"/><Relationship Id="rId19" Type="http://schemas.openxmlformats.org/officeDocument/2006/relationships/hyperlink" Target="http://services.igi-global.com/resolvedoi/resolve.aspx?doi=10.4018/978-1-5225-2808-1" TargetMode="External"/><Relationship Id="rId224" Type="http://schemas.openxmlformats.org/officeDocument/2006/relationships/hyperlink" Target="http://services.igi-global.com/resolvedoi/resolve.aspx?doi=10.4018/978-1-7998-4444-0" TargetMode="External"/><Relationship Id="rId30" Type="http://schemas.openxmlformats.org/officeDocument/2006/relationships/hyperlink" Target="http://services.igi-global.com/resolvedoi/resolve.aspx?doi=10.4018/978-1-5225-7265-7" TargetMode="External"/><Relationship Id="rId105" Type="http://schemas.openxmlformats.org/officeDocument/2006/relationships/hyperlink" Target="http://services.igi-global.com/resolvedoi/resolve.aspx?doi=10.4018/978-1-7998-3142-6" TargetMode="External"/><Relationship Id="rId126" Type="http://schemas.openxmlformats.org/officeDocument/2006/relationships/hyperlink" Target="http://services.igi-global.com/resolvedoi/resolve.aspx?doi=10.4018/978-1-7998-4570-6" TargetMode="External"/><Relationship Id="rId147" Type="http://schemas.openxmlformats.org/officeDocument/2006/relationships/hyperlink" Target="http://services.igi-global.com/resolvedoi/resolve.aspx?doi=10.4018/978-1-7998-1226-5" TargetMode="External"/><Relationship Id="rId168" Type="http://schemas.openxmlformats.org/officeDocument/2006/relationships/hyperlink" Target="http://services.igi-global.com/resolvedoi/resolve.aspx?doi=10.4018/978-1-5225-8365-3" TargetMode="External"/><Relationship Id="rId51" Type="http://schemas.openxmlformats.org/officeDocument/2006/relationships/hyperlink" Target="http://services.igi-global.com/resolvedoi/resolve.aspx?doi=10.4018/978-1-5225-7987-8" TargetMode="External"/><Relationship Id="rId72" Type="http://schemas.openxmlformats.org/officeDocument/2006/relationships/hyperlink" Target="http://services.igi-global.com/resolvedoi/resolve.aspx?doi=10.4018/978-1-7998-1131-2" TargetMode="External"/><Relationship Id="rId93" Type="http://schemas.openxmlformats.org/officeDocument/2006/relationships/hyperlink" Target="http://services.igi-global.com/resolvedoi/resolve.aspx?doi=10.4018/978-1-7998-1981-3" TargetMode="External"/><Relationship Id="rId189" Type="http://schemas.openxmlformats.org/officeDocument/2006/relationships/hyperlink" Target="http://services.igi-global.com/resolvedoi/resolve.aspx?doi=10.4018/978-1-7998-0373-7" TargetMode="External"/><Relationship Id="rId3" Type="http://schemas.openxmlformats.org/officeDocument/2006/relationships/hyperlink" Target="http://services.igi-global.com/resolvedoi/resolve.aspx?doi=10.4018/978-1-4666-7419-6" TargetMode="External"/><Relationship Id="rId214" Type="http://schemas.openxmlformats.org/officeDocument/2006/relationships/hyperlink" Target="http://services.igi-global.com/resolvedoi/resolve.aspx?doi=10.4018/978-1-7998-2764-1" TargetMode="Externa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services.igi-global.com/resolvedoi/resolve.aspx?doi=10.4018/978-1-5225-6243-6" TargetMode="External"/><Relationship Id="rId21" Type="http://schemas.openxmlformats.org/officeDocument/2006/relationships/hyperlink" Target="http://services.igi-global.com/resolvedoi/resolve.aspx?doi=10.4018/978-1-5225-8535-0" TargetMode="External"/><Relationship Id="rId42" Type="http://schemas.openxmlformats.org/officeDocument/2006/relationships/hyperlink" Target="http://services.igi-global.com/resolvedoi/resolve.aspx?doi=10.4018/978-1-7998-1152-7" TargetMode="External"/><Relationship Id="rId63" Type="http://schemas.openxmlformats.org/officeDocument/2006/relationships/hyperlink" Target="http://services.igi-global.com/resolvedoi/resolve.aspx?doi=10.4018/978-1-5225-8266-3" TargetMode="External"/><Relationship Id="rId84" Type="http://schemas.openxmlformats.org/officeDocument/2006/relationships/hyperlink" Target="http://services.igi-global.com/resolvedoi/resolve.aspx?doi=10.4018/978-1-7998-4778-6" TargetMode="External"/><Relationship Id="rId138" Type="http://schemas.openxmlformats.org/officeDocument/2006/relationships/hyperlink" Target="http://services.igi-global.com/resolvedoi/resolve.aspx?doi=10.4018/978-1-7998-4312-2" TargetMode="External"/><Relationship Id="rId159" Type="http://schemas.openxmlformats.org/officeDocument/2006/relationships/hyperlink" Target="http://services.igi-global.com/resolvedoi/resolve.aspx?doi=10.4018/978-1-5225-9611-0" TargetMode="External"/><Relationship Id="rId170" Type="http://schemas.openxmlformats.org/officeDocument/2006/relationships/hyperlink" Target="http://services.igi-global.com/resolvedoi/resolve.aspx?doi=10.4018/978-1-7998-1614-0" TargetMode="External"/><Relationship Id="rId191" Type="http://schemas.openxmlformats.org/officeDocument/2006/relationships/hyperlink" Target="http://services.igi-global.com/resolvedoi/resolve.aspx?doi=10.4018/978-1-7998-3111-2" TargetMode="External"/><Relationship Id="rId205" Type="http://schemas.openxmlformats.org/officeDocument/2006/relationships/hyperlink" Target="http://services.igi-global.com/resolvedoi/resolve.aspx?doi=10.4018/978-1-7998-3904-0" TargetMode="External"/><Relationship Id="rId226" Type="http://schemas.openxmlformats.org/officeDocument/2006/relationships/hyperlink" Target="http://services.igi-global.com/resolvedoi/resolve.aspx?doi=10.4018/978-1-7998-6522-3" TargetMode="External"/><Relationship Id="rId247" Type="http://schemas.openxmlformats.org/officeDocument/2006/relationships/hyperlink" Target="http://services.igi-global.com/resolvedoi/resolve.aspx?doi=10.4018/978-1-7998-1063-6" TargetMode="External"/><Relationship Id="rId107" Type="http://schemas.openxmlformats.org/officeDocument/2006/relationships/hyperlink" Target="http://services.igi-global.com/resolvedoi/resolve.aspx?doi=10.4018/978-1-7998-4942-1" TargetMode="External"/><Relationship Id="rId11" Type="http://schemas.openxmlformats.org/officeDocument/2006/relationships/hyperlink" Target="http://services.igi-global.com/resolvedoi/resolve.aspx?doi=10.4018/978-1-5225-7180-3" TargetMode="External"/><Relationship Id="rId32" Type="http://schemas.openxmlformats.org/officeDocument/2006/relationships/hyperlink" Target="http://services.igi-global.com/resolvedoi/resolve.aspx?doi=10.4018/978-1-7998-0333-1" TargetMode="External"/><Relationship Id="rId53" Type="http://schemas.openxmlformats.org/officeDocument/2006/relationships/hyperlink" Target="http://services.igi-global.com/resolvedoi/resolve.aspx?doi=10.4018/978-1-7998-3119-8" TargetMode="External"/><Relationship Id="rId74" Type="http://schemas.openxmlformats.org/officeDocument/2006/relationships/hyperlink" Target="http://services.igi-global.com/resolvedoi/resolve.aspx?doi=10.4018/978-1-7998-4180-7" TargetMode="External"/><Relationship Id="rId128" Type="http://schemas.openxmlformats.org/officeDocument/2006/relationships/hyperlink" Target="http://services.igi-global.com/resolvedoi/resolve.aspx?doi=10.4018/978-1-7998-2120-5" TargetMode="External"/><Relationship Id="rId149" Type="http://schemas.openxmlformats.org/officeDocument/2006/relationships/hyperlink" Target="http://services.igi-global.com/resolvedoi/resolve.aspx?doi=10.4018/978-1-5225-7501-6" TargetMode="External"/><Relationship Id="rId5" Type="http://schemas.openxmlformats.org/officeDocument/2006/relationships/hyperlink" Target="http://services.igi-global.com/resolvedoi/resolve.aspx?doi=10.4018/978-1-5225-0672-0" TargetMode="External"/><Relationship Id="rId95" Type="http://schemas.openxmlformats.org/officeDocument/2006/relationships/hyperlink" Target="http://services.igi-global.com/resolvedoi/resolve.aspx?doi=10.4018/978-1-7998-5043-4" TargetMode="External"/><Relationship Id="rId160" Type="http://schemas.openxmlformats.org/officeDocument/2006/relationships/hyperlink" Target="http://services.igi-global.com/resolvedoi/resolve.aspx?doi=10.4018/978-1-5225-8551-0" TargetMode="External"/><Relationship Id="rId181" Type="http://schemas.openxmlformats.org/officeDocument/2006/relationships/hyperlink" Target="http://services.igi-global.com/resolvedoi/resolve.aspx?doi=10.4018/978-1-7998-2513-5" TargetMode="External"/><Relationship Id="rId216" Type="http://schemas.openxmlformats.org/officeDocument/2006/relationships/hyperlink" Target="http://services.igi-global.com/resolvedoi/resolve.aspx?doi=10.4018/978-1-7998-4879-0" TargetMode="External"/><Relationship Id="rId237" Type="http://schemas.openxmlformats.org/officeDocument/2006/relationships/hyperlink" Target="http://services.igi-global.com/resolvedoi/resolve.aspx?doi=10.4018/978-1-7998-5357-2" TargetMode="External"/><Relationship Id="rId22" Type="http://schemas.openxmlformats.org/officeDocument/2006/relationships/hyperlink" Target="http://services.igi-global.com/resolvedoi/resolve.aspx?doi=10.4018/978-1-5225-9312-6" TargetMode="External"/><Relationship Id="rId43" Type="http://schemas.openxmlformats.org/officeDocument/2006/relationships/hyperlink" Target="http://services.igi-global.com/resolvedoi/resolve.aspx?doi=10.4018/978-1-7998-0218-1" TargetMode="External"/><Relationship Id="rId64" Type="http://schemas.openxmlformats.org/officeDocument/2006/relationships/hyperlink" Target="http://services.igi-global.com/resolvedoi/resolve.aspx?doi=10.4018/978-1-7998-3355-0" TargetMode="External"/><Relationship Id="rId118" Type="http://schemas.openxmlformats.org/officeDocument/2006/relationships/hyperlink" Target="http://services.igi-global.com/resolvedoi/resolve.aspx?doi=10.4018/978-1-5225-8244-1" TargetMode="External"/><Relationship Id="rId139" Type="http://schemas.openxmlformats.org/officeDocument/2006/relationships/hyperlink" Target="http://services.igi-global.com/resolvedoi/resolve.aspx?doi=10.4018/978-1-7998-4808-0" TargetMode="External"/><Relationship Id="rId85" Type="http://schemas.openxmlformats.org/officeDocument/2006/relationships/hyperlink" Target="http://services.igi-global.com/resolvedoi/resolve.aspx?doi=10.4018/978-1-7998-4805-9" TargetMode="External"/><Relationship Id="rId150" Type="http://schemas.openxmlformats.org/officeDocument/2006/relationships/hyperlink" Target="http://services.igi-global.com/resolvedoi/resolve.aspx?doi=10.4018/978-1-5225-8235-9" TargetMode="External"/><Relationship Id="rId171" Type="http://schemas.openxmlformats.org/officeDocument/2006/relationships/hyperlink" Target="http://services.igi-global.com/resolvedoi/resolve.aspx?doi=10.4018/978-1-7998-1159-6" TargetMode="External"/><Relationship Id="rId192" Type="http://schemas.openxmlformats.org/officeDocument/2006/relationships/hyperlink" Target="http://services.igi-global.com/resolvedoi/resolve.aspx?doi=10.4018/978-1-5225-9493-2" TargetMode="External"/><Relationship Id="rId206" Type="http://schemas.openxmlformats.org/officeDocument/2006/relationships/hyperlink" Target="http://services.igi-global.com/resolvedoi/resolve.aspx?doi=10.4018/978-1-7998-4027-5" TargetMode="External"/><Relationship Id="rId227" Type="http://schemas.openxmlformats.org/officeDocument/2006/relationships/hyperlink" Target="http://services.igi-global.com/resolvedoi/resolve.aspx?doi=10.4018/978-1-7998-7511-6" TargetMode="External"/><Relationship Id="rId248" Type="http://schemas.openxmlformats.org/officeDocument/2006/relationships/hyperlink" Target="http://services.igi-global.com/resolvedoi/resolve.aspx?doi=10.4018/978-1-7998-1482-5" TargetMode="External"/><Relationship Id="rId12" Type="http://schemas.openxmlformats.org/officeDocument/2006/relationships/hyperlink" Target="http://services.igi-global.com/resolvedoi/resolve.aspx?doi=10.4018/978-1-5225-6133-0" TargetMode="External"/><Relationship Id="rId33" Type="http://schemas.openxmlformats.org/officeDocument/2006/relationships/hyperlink" Target="http://services.igi-global.com/resolvedoi/resolve.aspx?doi=10.4018/978-1-7998-0210-5" TargetMode="External"/><Relationship Id="rId108" Type="http://schemas.openxmlformats.org/officeDocument/2006/relationships/hyperlink" Target="http://services.igi-global.com/resolvedoi/resolve.aspx?doi=10.4018/978-1-7998-5823-2" TargetMode="External"/><Relationship Id="rId129" Type="http://schemas.openxmlformats.org/officeDocument/2006/relationships/hyperlink" Target="http://services.igi-global.com/resolvedoi/resolve.aspx?doi=10.4018/978-1-7998-3066-5" TargetMode="External"/><Relationship Id="rId54" Type="http://schemas.openxmlformats.org/officeDocument/2006/relationships/hyperlink" Target="http://services.igi-global.com/resolvedoi/resolve.aspx?doi=10.4018/978-1-7998-3347-5" TargetMode="External"/><Relationship Id="rId75" Type="http://schemas.openxmlformats.org/officeDocument/2006/relationships/hyperlink" Target="http://services.igi-global.com/resolvedoi/resolve.aspx?doi=10.4018/978-1-7998-4240-8" TargetMode="External"/><Relationship Id="rId96" Type="http://schemas.openxmlformats.org/officeDocument/2006/relationships/hyperlink" Target="http://services.igi-global.com/resolvedoi/resolve.aspx?doi=10.4018/978-1-7998-5074-8" TargetMode="External"/><Relationship Id="rId140" Type="http://schemas.openxmlformats.org/officeDocument/2006/relationships/hyperlink" Target="http://services.igi-global.com/resolvedoi/resolve.aspx?doi=10.4018/978-1-7998-6527-8" TargetMode="External"/><Relationship Id="rId161" Type="http://schemas.openxmlformats.org/officeDocument/2006/relationships/hyperlink" Target="http://services.igi-global.com/resolvedoi/resolve.aspx?doi=10.4018/978-1-5225-9902-9" TargetMode="External"/><Relationship Id="rId182" Type="http://schemas.openxmlformats.org/officeDocument/2006/relationships/hyperlink" Target="http://services.igi-global.com/resolvedoi/resolve.aspx?doi=10.4018/978-1-7998-2108-3" TargetMode="External"/><Relationship Id="rId217" Type="http://schemas.openxmlformats.org/officeDocument/2006/relationships/hyperlink" Target="http://services.igi-global.com/resolvedoi/resolve.aspx?doi=10.4018/978-1-7998-4885-1" TargetMode="External"/><Relationship Id="rId6" Type="http://schemas.openxmlformats.org/officeDocument/2006/relationships/hyperlink" Target="http://services.igi-global.com/resolvedoi/resolve.aspx?doi=10.4018/978-1-5225-5273-4" TargetMode="External"/><Relationship Id="rId238" Type="http://schemas.openxmlformats.org/officeDocument/2006/relationships/hyperlink" Target="http://services.igi-global.com/resolvedoi/resolve.aspx?doi=10.4018/978-1-7998-5796-9" TargetMode="External"/><Relationship Id="rId23" Type="http://schemas.openxmlformats.org/officeDocument/2006/relationships/hyperlink" Target="http://services.igi-global.com/resolvedoi/resolve.aspx?doi=10.4018/978-1-5225-8467-4" TargetMode="External"/><Relationship Id="rId119" Type="http://schemas.openxmlformats.org/officeDocument/2006/relationships/hyperlink" Target="http://services.igi-global.com/resolvedoi/resolve.aspx?doi=10.4018/978-1-5225-9004-0" TargetMode="External"/><Relationship Id="rId44" Type="http://schemas.openxmlformats.org/officeDocument/2006/relationships/hyperlink" Target="http://services.igi-global.com/resolvedoi/resolve.aspx?doi=10.4018/978-1-7998-1245-6" TargetMode="External"/><Relationship Id="rId65" Type="http://schemas.openxmlformats.org/officeDocument/2006/relationships/hyperlink" Target="http://services.igi-global.com/resolvedoi/resolve.aspx?doi=10.4018/978-1-7998-3673-5" TargetMode="External"/><Relationship Id="rId86" Type="http://schemas.openxmlformats.org/officeDocument/2006/relationships/hyperlink" Target="http://services.igi-global.com/resolvedoi/resolve.aspx?doi=10.4018/978-1-7998-4826-4" TargetMode="External"/><Relationship Id="rId130" Type="http://schemas.openxmlformats.org/officeDocument/2006/relationships/hyperlink" Target="http://services.igi-global.com/resolvedoi/resolve.aspx?doi=10.4018/978-1-7998-2581-4" TargetMode="External"/><Relationship Id="rId151" Type="http://schemas.openxmlformats.org/officeDocument/2006/relationships/hyperlink" Target="http://services.igi-global.com/resolvedoi/resolve.aspx?doi=10.4018/978-1-5225-7189-6" TargetMode="External"/><Relationship Id="rId172" Type="http://schemas.openxmlformats.org/officeDocument/2006/relationships/hyperlink" Target="http://services.igi-global.com/resolvedoi/resolve.aspx?doi=10.4018/978-1-7998-1290-6" TargetMode="External"/><Relationship Id="rId193" Type="http://schemas.openxmlformats.org/officeDocument/2006/relationships/hyperlink" Target="http://services.igi-global.com/resolvedoi/resolve.aspx?doi=10.4018/978-1-7998-2668-2" TargetMode="External"/><Relationship Id="rId207" Type="http://schemas.openxmlformats.org/officeDocument/2006/relationships/hyperlink" Target="http://services.igi-global.com/resolvedoi/resolve.aspx?doi=10.4018/978-1-7998-4054-1" TargetMode="External"/><Relationship Id="rId228" Type="http://schemas.openxmlformats.org/officeDocument/2006/relationships/hyperlink" Target="http://services.igi-global.com/resolvedoi/resolve.aspx?doi=10.4018/978-1-7998-6659-6" TargetMode="External"/><Relationship Id="rId249" Type="http://schemas.openxmlformats.org/officeDocument/2006/relationships/hyperlink" Target="http://services.igi-global.com/resolvedoi/resolve.aspx?doi=10.4018/978-1-7998-1408-5" TargetMode="External"/><Relationship Id="rId13" Type="http://schemas.openxmlformats.org/officeDocument/2006/relationships/hyperlink" Target="http://services.igi-global.com/resolvedoi/resolve.aspx?doi=10.4018/978-1-5225-7010-3" TargetMode="External"/><Relationship Id="rId109" Type="http://schemas.openxmlformats.org/officeDocument/2006/relationships/hyperlink" Target="http://services.igi-global.com/resolvedoi/resolve.aspx?doi=10.4018/978-1-7998-3527-1" TargetMode="External"/><Relationship Id="rId34" Type="http://schemas.openxmlformats.org/officeDocument/2006/relationships/hyperlink" Target="http://services.igi-global.com/resolvedoi/resolve.aspx?doi=10.4018/978-1-7998-1033-9" TargetMode="External"/><Relationship Id="rId55" Type="http://schemas.openxmlformats.org/officeDocument/2006/relationships/hyperlink" Target="http://services.igi-global.com/resolvedoi/resolve.aspx?doi=10.4018/978-1-7998-1916-5" TargetMode="External"/><Relationship Id="rId76" Type="http://schemas.openxmlformats.org/officeDocument/2006/relationships/hyperlink" Target="http://services.igi-global.com/resolvedoi/resolve.aspx?doi=10.4018/978-1-7998-4252-1" TargetMode="External"/><Relationship Id="rId97" Type="http://schemas.openxmlformats.org/officeDocument/2006/relationships/hyperlink" Target="http://services.igi-global.com/resolvedoi/resolve.aspx?doi=10.4018/978-1-7998-5089-2" TargetMode="External"/><Relationship Id="rId120" Type="http://schemas.openxmlformats.org/officeDocument/2006/relationships/hyperlink" Target="http://services.igi-global.com/resolvedoi/resolve.aspx?doi=10.4018/978-1-7998-0261-7" TargetMode="External"/><Relationship Id="rId141" Type="http://schemas.openxmlformats.org/officeDocument/2006/relationships/hyperlink" Target="http://services.igi-global.com/resolvedoi/resolve.aspx?doi=10.4018/978-1-7998-6530-8" TargetMode="External"/><Relationship Id="rId7" Type="http://schemas.openxmlformats.org/officeDocument/2006/relationships/hyperlink" Target="http://services.igi-global.com/resolvedoi/resolve.aspx?doi=10.4018/978-1-5225-3500-3" TargetMode="External"/><Relationship Id="rId162" Type="http://schemas.openxmlformats.org/officeDocument/2006/relationships/hyperlink" Target="http://services.igi-global.com/resolvedoi/resolve.aspx?doi=10.4018/978-1-5225-9380-5" TargetMode="External"/><Relationship Id="rId183" Type="http://schemas.openxmlformats.org/officeDocument/2006/relationships/hyperlink" Target="http://services.igi-global.com/resolvedoi/resolve.aspx?doi=10.4018/978-1-7998-2566-1" TargetMode="External"/><Relationship Id="rId218" Type="http://schemas.openxmlformats.org/officeDocument/2006/relationships/hyperlink" Target="http://services.igi-global.com/resolvedoi/resolve.aspx?doi=10.4018/978-1-7998-4894-3" TargetMode="External"/><Relationship Id="rId239" Type="http://schemas.openxmlformats.org/officeDocument/2006/relationships/hyperlink" Target="http://services.igi-global.com/resolvedoi/resolve.aspx?doi=10.4018/978-1-7998-5728-0" TargetMode="External"/><Relationship Id="rId250" Type="http://schemas.openxmlformats.org/officeDocument/2006/relationships/hyperlink" Target="http://services.igi-global.com/resolvedoi/resolve.aspx?doi=10.4018/978-1-5225-0084-1" TargetMode="External"/><Relationship Id="rId24" Type="http://schemas.openxmlformats.org/officeDocument/2006/relationships/hyperlink" Target="http://services.igi-global.com/resolvedoi/resolve.aspx?doi=10.4018/978-1-7998-3230-0" TargetMode="External"/><Relationship Id="rId45" Type="http://schemas.openxmlformats.org/officeDocument/2006/relationships/hyperlink" Target="http://services.igi-global.com/resolvedoi/resolve.aspx?doi=10.4018/978-1-7998-2257-8" TargetMode="External"/><Relationship Id="rId66" Type="http://schemas.openxmlformats.org/officeDocument/2006/relationships/hyperlink" Target="http://services.igi-global.com/resolvedoi/resolve.aspx?doi=10.4018/978-1-7998-3744-2" TargetMode="External"/><Relationship Id="rId87" Type="http://schemas.openxmlformats.org/officeDocument/2006/relationships/hyperlink" Target="http://services.igi-global.com/resolvedoi/resolve.aspx?doi=10.4018/978-1-7998-4846-2" TargetMode="External"/><Relationship Id="rId110" Type="http://schemas.openxmlformats.org/officeDocument/2006/relationships/hyperlink" Target="http://services.igi-global.com/resolvedoi/resolve.aspx?doi=10.4018/978-1-7998-5442-5" TargetMode="External"/><Relationship Id="rId131" Type="http://schemas.openxmlformats.org/officeDocument/2006/relationships/hyperlink" Target="http://services.igi-global.com/resolvedoi/resolve.aspx?doi=10.4018/978-1-7998-1320-0" TargetMode="External"/><Relationship Id="rId152" Type="http://schemas.openxmlformats.org/officeDocument/2006/relationships/hyperlink" Target="http://services.igi-global.com/resolvedoi/resolve.aspx?doi=10.4018/978-1-5225-8563-3" TargetMode="External"/><Relationship Id="rId173" Type="http://schemas.openxmlformats.org/officeDocument/2006/relationships/hyperlink" Target="http://services.igi-global.com/resolvedoi/resolve.aspx?doi=10.4018/978-1-5225-9643-1" TargetMode="External"/><Relationship Id="rId194" Type="http://schemas.openxmlformats.org/officeDocument/2006/relationships/hyperlink" Target="http://services.igi-global.com/resolvedoi/resolve.aspx?doi=10.4018/978-1-7998-3238-6" TargetMode="External"/><Relationship Id="rId208" Type="http://schemas.openxmlformats.org/officeDocument/2006/relationships/hyperlink" Target="http://services.igi-global.com/resolvedoi/resolve.aspx?doi=10.4018/978-1-7998-4276-7" TargetMode="External"/><Relationship Id="rId229" Type="http://schemas.openxmlformats.org/officeDocument/2006/relationships/hyperlink" Target="http://services.igi-global.com/resolvedoi/resolve.aspx?doi=10.4018/978-1-7998-6690-9" TargetMode="External"/><Relationship Id="rId240" Type="http://schemas.openxmlformats.org/officeDocument/2006/relationships/hyperlink" Target="http://services.igi-global.com/resolvedoi/resolve.aspx?doi=10.4018/978-1-7998-3487-8" TargetMode="External"/><Relationship Id="rId14" Type="http://schemas.openxmlformats.org/officeDocument/2006/relationships/hyperlink" Target="http://services.igi-global.com/resolvedoi/resolve.aspx?doi=10.4018/978-1-5225-7564-1" TargetMode="External"/><Relationship Id="rId35" Type="http://schemas.openxmlformats.org/officeDocument/2006/relationships/hyperlink" Target="http://services.igi-global.com/resolvedoi/resolve.aspx?doi=10.4018/978-1-7998-1093-3" TargetMode="External"/><Relationship Id="rId56" Type="http://schemas.openxmlformats.org/officeDocument/2006/relationships/hyperlink" Target="http://services.igi-global.com/resolvedoi/resolve.aspx?doi=10.4018/978-1-7998-2079-6" TargetMode="External"/><Relationship Id="rId77" Type="http://schemas.openxmlformats.org/officeDocument/2006/relationships/hyperlink" Target="http://services.igi-global.com/resolvedoi/resolve.aspx?doi=10.4018/978-1-7998-4360-3" TargetMode="External"/><Relationship Id="rId100" Type="http://schemas.openxmlformats.org/officeDocument/2006/relationships/hyperlink" Target="http://services.igi-global.com/resolvedoi/resolve.aspx?doi=10.4018/978-1-7998-5805-8" TargetMode="External"/><Relationship Id="rId8" Type="http://schemas.openxmlformats.org/officeDocument/2006/relationships/hyperlink" Target="http://services.igi-global.com/resolvedoi/resolve.aspx?doi=10.4018/978-1-5225-2656-8" TargetMode="External"/><Relationship Id="rId98" Type="http://schemas.openxmlformats.org/officeDocument/2006/relationships/hyperlink" Target="http://services.igi-global.com/resolvedoi/resolve.aspx?doi=10.4018/978-1-7998-5770-9" TargetMode="External"/><Relationship Id="rId121" Type="http://schemas.openxmlformats.org/officeDocument/2006/relationships/hyperlink" Target="http://services.igi-global.com/resolvedoi/resolve.aspx?doi=10.4018/978-1-7998-1680-5" TargetMode="External"/><Relationship Id="rId142" Type="http://schemas.openxmlformats.org/officeDocument/2006/relationships/hyperlink" Target="http://services.igi-global.com/resolvedoi/resolve.aspx?doi=10.4018/978-1-7998-5495-1" TargetMode="External"/><Relationship Id="rId163" Type="http://schemas.openxmlformats.org/officeDocument/2006/relationships/hyperlink" Target="http://services.igi-global.com/resolvedoi/resolve.aspx?doi=10.4018/978-1-5225-9866-4" TargetMode="External"/><Relationship Id="rId184" Type="http://schemas.openxmlformats.org/officeDocument/2006/relationships/hyperlink" Target="http://services.igi-global.com/resolvedoi/resolve.aspx?doi=10.4018/978-1-5225-9806-0" TargetMode="External"/><Relationship Id="rId219" Type="http://schemas.openxmlformats.org/officeDocument/2006/relationships/hyperlink" Target="http://services.igi-global.com/resolvedoi/resolve.aspx?doi=10.4018/978-1-7998-4900-1" TargetMode="External"/><Relationship Id="rId230" Type="http://schemas.openxmlformats.org/officeDocument/2006/relationships/hyperlink" Target="http://services.igi-global.com/resolvedoi/resolve.aspx?doi=10.4018/978-1-7998-7206-1" TargetMode="External"/><Relationship Id="rId251" Type="http://schemas.openxmlformats.org/officeDocument/2006/relationships/hyperlink" Target="http://services.igi-global.com/resolvedoi/resolve.aspx?doi=10.4018/978-1-5225-2116-7" TargetMode="External"/><Relationship Id="rId25" Type="http://schemas.openxmlformats.org/officeDocument/2006/relationships/hyperlink" Target="http://services.igi-global.com/resolvedoi/resolve.aspx?doi=10.4018/978-1-5225-9566-3" TargetMode="External"/><Relationship Id="rId46" Type="http://schemas.openxmlformats.org/officeDocument/2006/relationships/hyperlink" Target="http://services.igi-global.com/resolvedoi/resolve.aspx?doi=10.4018/978-1-7998-2901-0" TargetMode="External"/><Relationship Id="rId67" Type="http://schemas.openxmlformats.org/officeDocument/2006/relationships/hyperlink" Target="http://services.igi-global.com/resolvedoi/resolve.aspx?doi=10.4018/978-1-7998-3756-5" TargetMode="External"/><Relationship Id="rId88" Type="http://schemas.openxmlformats.org/officeDocument/2006/relationships/hyperlink" Target="http://services.igi-global.com/resolvedoi/resolve.aspx?doi=10.4018/978-1-7998-4906-3" TargetMode="External"/><Relationship Id="rId111" Type="http://schemas.openxmlformats.org/officeDocument/2006/relationships/hyperlink" Target="http://services.igi-global.com/resolvedoi/resolve.aspx?doi=10.4018/978-1-7998-5557-6" TargetMode="External"/><Relationship Id="rId132" Type="http://schemas.openxmlformats.org/officeDocument/2006/relationships/hyperlink" Target="http://services.igi-global.com/resolvedoi/resolve.aspx?doi=10.4018/978-1-7998-2139-7" TargetMode="External"/><Relationship Id="rId153" Type="http://schemas.openxmlformats.org/officeDocument/2006/relationships/hyperlink" Target="http://services.igi-global.com/resolvedoi/resolve.aspx?doi=10.4018/978-1-5225-9069-9" TargetMode="External"/><Relationship Id="rId174" Type="http://schemas.openxmlformats.org/officeDocument/2006/relationships/hyperlink" Target="http://services.igi-global.com/resolvedoi/resolve.aspx?doi=10.4018/978-1-7998-1863-2" TargetMode="External"/><Relationship Id="rId195" Type="http://schemas.openxmlformats.org/officeDocument/2006/relationships/hyperlink" Target="http://services.igi-global.com/resolvedoi/resolve.aspx?doi=10.4018/978-1-7998-3523-3" TargetMode="External"/><Relationship Id="rId209" Type="http://schemas.openxmlformats.org/officeDocument/2006/relationships/hyperlink" Target="http://services.igi-global.com/resolvedoi/resolve.aspx?doi=10.4018/978-1-7998-4285-9" TargetMode="External"/><Relationship Id="rId220" Type="http://schemas.openxmlformats.org/officeDocument/2006/relationships/hyperlink" Target="http://services.igi-global.com/resolvedoi/resolve.aspx?doi=10.4018/978-1-7998-4915-5" TargetMode="External"/><Relationship Id="rId241" Type="http://schemas.openxmlformats.org/officeDocument/2006/relationships/hyperlink" Target="http://services.igi-global.com/resolvedoi/resolve.aspx?doi=10.4018/978-1-4666-8844-5" TargetMode="External"/><Relationship Id="rId15" Type="http://schemas.openxmlformats.org/officeDocument/2006/relationships/hyperlink" Target="http://services.igi-global.com/resolvedoi/resolve.aspx?doi=10.4018/978-1-5225-7859-8" TargetMode="External"/><Relationship Id="rId36" Type="http://schemas.openxmlformats.org/officeDocument/2006/relationships/hyperlink" Target="http://services.igi-global.com/resolvedoi/resolve.aspx?doi=10.4018/978-1-7998-2201-1" TargetMode="External"/><Relationship Id="rId57" Type="http://schemas.openxmlformats.org/officeDocument/2006/relationships/hyperlink" Target="http://services.igi-global.com/resolvedoi/resolve.aspx?doi=10.4018/978-1-7998-3416-8" TargetMode="External"/><Relationship Id="rId78" Type="http://schemas.openxmlformats.org/officeDocument/2006/relationships/hyperlink" Target="http://services.igi-global.com/resolvedoi/resolve.aspx?doi=10.4018/978-1-7998-4390-0" TargetMode="External"/><Relationship Id="rId99" Type="http://schemas.openxmlformats.org/officeDocument/2006/relationships/hyperlink" Target="http://services.igi-global.com/resolvedoi/resolve.aspx?doi=10.4018/978-1-7998-6605-3" TargetMode="External"/><Relationship Id="rId101" Type="http://schemas.openxmlformats.org/officeDocument/2006/relationships/hyperlink" Target="http://services.igi-global.com/resolvedoi/resolve.aspx?doi=10.4018/978-1-7998-6669-5" TargetMode="External"/><Relationship Id="rId122" Type="http://schemas.openxmlformats.org/officeDocument/2006/relationships/hyperlink" Target="http://services.igi-global.com/resolvedoi/resolve.aspx?doi=10.4018/978-1-7998-1204-3" TargetMode="External"/><Relationship Id="rId143" Type="http://schemas.openxmlformats.org/officeDocument/2006/relationships/hyperlink" Target="http://services.igi-global.com/resolvedoi/resolve.aspx?doi=10.4018/978-1-7998-5603-0" TargetMode="External"/><Relationship Id="rId164" Type="http://schemas.openxmlformats.org/officeDocument/2006/relationships/hyperlink" Target="http://services.igi-global.com/resolvedoi/resolve.aspx?doi=10.4018/978-1-7998-1374-3" TargetMode="External"/><Relationship Id="rId185" Type="http://schemas.openxmlformats.org/officeDocument/2006/relationships/hyperlink" Target="http://services.igi-global.com/resolvedoi/resolve.aspx?doi=10.4018/978-1-7998-2803-7" TargetMode="External"/><Relationship Id="rId9" Type="http://schemas.openxmlformats.org/officeDocument/2006/relationships/hyperlink" Target="http://services.igi-global.com/resolvedoi/resolve.aspx?doi=10.4018/978-1-5225-7344-9" TargetMode="External"/><Relationship Id="rId210" Type="http://schemas.openxmlformats.org/officeDocument/2006/relationships/hyperlink" Target="http://services.igi-global.com/resolvedoi/resolve.aspx?doi=10.4018/978-1-7998-4339-9" TargetMode="External"/><Relationship Id="rId26" Type="http://schemas.openxmlformats.org/officeDocument/2006/relationships/hyperlink" Target="http://services.igi-global.com/resolvedoi/resolve.aspx?doi=10.4018/978-1-7998-0054-5" TargetMode="External"/><Relationship Id="rId231" Type="http://schemas.openxmlformats.org/officeDocument/2006/relationships/hyperlink" Target="http://services.igi-global.com/resolvedoi/resolve.aspx?doi=10.4018/978-1-7998-7552-9" TargetMode="External"/><Relationship Id="rId252" Type="http://schemas.openxmlformats.org/officeDocument/2006/relationships/hyperlink" Target="http://services.igi-global.com/resolvedoi/resolve.aspx?doi=10.4018/978-1-5225-7467-5" TargetMode="External"/><Relationship Id="rId47" Type="http://schemas.openxmlformats.org/officeDocument/2006/relationships/hyperlink" Target="http://services.igi-global.com/resolvedoi/resolve.aspx?doi=10.4018/978-1-7998-2451-0" TargetMode="External"/><Relationship Id="rId68" Type="http://schemas.openxmlformats.org/officeDocument/2006/relationships/hyperlink" Target="http://services.igi-global.com/resolvedoi/resolve.aspx?doi=10.4018/978-1-7998-3871-5" TargetMode="External"/><Relationship Id="rId89" Type="http://schemas.openxmlformats.org/officeDocument/2006/relationships/hyperlink" Target="http://services.igi-global.com/resolvedoi/resolve.aspx?doi=10.4018/978-1-7998-4912-4" TargetMode="External"/><Relationship Id="rId112" Type="http://schemas.openxmlformats.org/officeDocument/2006/relationships/hyperlink" Target="http://services.igi-global.com/resolvedoi/resolve.aspx?doi=10.4018/978-1-7998-5598-9" TargetMode="External"/><Relationship Id="rId133" Type="http://schemas.openxmlformats.org/officeDocument/2006/relationships/hyperlink" Target="http://services.igi-global.com/resolvedoi/resolve.aspx?doi=10.4018/978-1-7998-2742-9" TargetMode="External"/><Relationship Id="rId154" Type="http://schemas.openxmlformats.org/officeDocument/2006/relationships/hyperlink" Target="http://services.igi-global.com/resolvedoi/resolve.aspx?doi=10.4018/978-1-5225-9441-3" TargetMode="External"/><Relationship Id="rId175" Type="http://schemas.openxmlformats.org/officeDocument/2006/relationships/hyperlink" Target="http://services.igi-global.com/resolvedoi/resolve.aspx?doi=10.4018/978-1-7998-1253-1" TargetMode="External"/><Relationship Id="rId196" Type="http://schemas.openxmlformats.org/officeDocument/2006/relationships/hyperlink" Target="http://services.igi-global.com/resolvedoi/resolve.aspx?doi=10.4018/978-1-7998-4408-2" TargetMode="External"/><Relationship Id="rId200" Type="http://schemas.openxmlformats.org/officeDocument/2006/relationships/hyperlink" Target="http://services.igi-global.com/resolvedoi/resolve.aspx?doi=10.4018/978-1-7998-1920-2" TargetMode="External"/><Relationship Id="rId16" Type="http://schemas.openxmlformats.org/officeDocument/2006/relationships/hyperlink" Target="http://services.igi-global.com/resolvedoi/resolve.aspx?doi=10.4018/978-1-5225-8103-1" TargetMode="External"/><Relationship Id="rId221" Type="http://schemas.openxmlformats.org/officeDocument/2006/relationships/hyperlink" Target="http://services.igi-global.com/resolvedoi/resolve.aspx?doi=10.4018/978-1-7998-4921-6" TargetMode="External"/><Relationship Id="rId242" Type="http://schemas.openxmlformats.org/officeDocument/2006/relationships/hyperlink" Target="http://services.igi-global.com/resolvedoi/resolve.aspx?doi=10.4018/978-1-4666-9455-2" TargetMode="External"/><Relationship Id="rId37" Type="http://schemas.openxmlformats.org/officeDocument/2006/relationships/hyperlink" Target="http://services.igi-global.com/resolvedoi/resolve.aspx?doi=10.4018/978-1-7998-0131-3" TargetMode="External"/><Relationship Id="rId58" Type="http://schemas.openxmlformats.org/officeDocument/2006/relationships/hyperlink" Target="http://services.igi-global.com/resolvedoi/resolve.aspx?doi=10.4018/978-1-7998-3669-8" TargetMode="External"/><Relationship Id="rId79" Type="http://schemas.openxmlformats.org/officeDocument/2006/relationships/hyperlink" Target="http://services.igi-global.com/resolvedoi/resolve.aspx?doi=10.4018/978-1-7998-4601-7" TargetMode="External"/><Relationship Id="rId102" Type="http://schemas.openxmlformats.org/officeDocument/2006/relationships/hyperlink" Target="http://services.igi-global.com/resolvedoi/resolve.aspx?doi=10.4018/978-1-7998-6508-7" TargetMode="External"/><Relationship Id="rId123" Type="http://schemas.openxmlformats.org/officeDocument/2006/relationships/hyperlink" Target="http://services.igi-global.com/resolvedoi/resolve.aspx?doi=10.4018/978-1-7998-1468-9" TargetMode="External"/><Relationship Id="rId144" Type="http://schemas.openxmlformats.org/officeDocument/2006/relationships/hyperlink" Target="http://services.igi-global.com/resolvedoi/resolve.aspx?doi=10.4018/978-1-4666-9426-2" TargetMode="External"/><Relationship Id="rId90" Type="http://schemas.openxmlformats.org/officeDocument/2006/relationships/hyperlink" Target="http://services.igi-global.com/resolvedoi/resolve.aspx?doi=10.4018/978-1-7998-4954-4" TargetMode="External"/><Relationship Id="rId165" Type="http://schemas.openxmlformats.org/officeDocument/2006/relationships/hyperlink" Target="http://services.igi-global.com/resolvedoi/resolve.aspx?doi=10.4018/978-1-7998-0414-7" TargetMode="External"/><Relationship Id="rId186" Type="http://schemas.openxmlformats.org/officeDocument/2006/relationships/hyperlink" Target="http://services.igi-global.com/resolvedoi/resolve.aspx?doi=10.4018/978-1-7998-3053-5" TargetMode="External"/><Relationship Id="rId211" Type="http://schemas.openxmlformats.org/officeDocument/2006/relationships/hyperlink" Target="http://services.igi-global.com/resolvedoi/resolve.aspx?doi=10.4018/978-1-7998-4381-8" TargetMode="External"/><Relationship Id="rId232" Type="http://schemas.openxmlformats.org/officeDocument/2006/relationships/hyperlink" Target="http://services.igi-global.com/resolvedoi/resolve.aspx?doi=10.4018/978-1-7998-5781-5" TargetMode="External"/><Relationship Id="rId253" Type="http://schemas.openxmlformats.org/officeDocument/2006/relationships/hyperlink" Target="http://services.igi-global.com/resolvedoi/resolve.aspx?doi=10.4018/978-1-5225-0261-6" TargetMode="External"/><Relationship Id="rId27" Type="http://schemas.openxmlformats.org/officeDocument/2006/relationships/hyperlink" Target="http://services.igi-global.com/resolvedoi/resolve.aspx?doi=10.4018/978-1-5225-9554-0" TargetMode="External"/><Relationship Id="rId48" Type="http://schemas.openxmlformats.org/officeDocument/2006/relationships/hyperlink" Target="http://services.igi-global.com/resolvedoi/resolve.aspx?doi=10.4018/978-1-7998-2823-5" TargetMode="External"/><Relationship Id="rId69" Type="http://schemas.openxmlformats.org/officeDocument/2006/relationships/hyperlink" Target="http://services.igi-global.com/resolvedoi/resolve.aspx?doi=10.4018/978-1-7998-3937-8" TargetMode="External"/><Relationship Id="rId113" Type="http://schemas.openxmlformats.org/officeDocument/2006/relationships/hyperlink" Target="http://services.igi-global.com/resolvedoi/resolve.aspx?doi=10.4018/978-1-7998-1249-4" TargetMode="External"/><Relationship Id="rId134" Type="http://schemas.openxmlformats.org/officeDocument/2006/relationships/hyperlink" Target="http://services.igi-global.com/resolvedoi/resolve.aspx?doi=10.4018/978-1-7998-3254-6" TargetMode="External"/><Relationship Id="rId80" Type="http://schemas.openxmlformats.org/officeDocument/2006/relationships/hyperlink" Target="http://services.igi-global.com/resolvedoi/resolve.aspx?doi=10.4018/978-1-7998-4664-2" TargetMode="External"/><Relationship Id="rId155" Type="http://schemas.openxmlformats.org/officeDocument/2006/relationships/hyperlink" Target="http://services.igi-global.com/resolvedoi/resolve.aspx?doi=10.4018/978-1-5225-8531-2" TargetMode="External"/><Relationship Id="rId176" Type="http://schemas.openxmlformats.org/officeDocument/2006/relationships/hyperlink" Target="http://services.igi-global.com/resolvedoi/resolve.aspx?doi=10.4018/978-1-7998-1718-5" TargetMode="External"/><Relationship Id="rId197" Type="http://schemas.openxmlformats.org/officeDocument/2006/relationships/hyperlink" Target="http://services.igi-global.com/resolvedoi/resolve.aspx?doi=10.4018/978-1-7998-2768-9" TargetMode="External"/><Relationship Id="rId201" Type="http://schemas.openxmlformats.org/officeDocument/2006/relationships/hyperlink" Target="http://services.igi-global.com/resolvedoi/resolve.aspx?doi=10.4018/978-1-7998-3130-3" TargetMode="External"/><Relationship Id="rId222" Type="http://schemas.openxmlformats.org/officeDocument/2006/relationships/hyperlink" Target="http://services.igi-global.com/resolvedoi/resolve.aspx?doi=10.4018/978-1-7998-4939-1" TargetMode="External"/><Relationship Id="rId243" Type="http://schemas.openxmlformats.org/officeDocument/2006/relationships/hyperlink" Target="http://services.igi-global.com/resolvedoi/resolve.aspx?doi=10.4018/978-1-4666-9539-9" TargetMode="External"/><Relationship Id="rId17" Type="http://schemas.openxmlformats.org/officeDocument/2006/relationships/hyperlink" Target="http://services.igi-global.com/resolvedoi/resolve.aspx?doi=10.4018/978-1-5225-9961-6" TargetMode="External"/><Relationship Id="rId38" Type="http://schemas.openxmlformats.org/officeDocument/2006/relationships/hyperlink" Target="http://services.igi-global.com/resolvedoi/resolve.aspx?doi=10.4018/978-1-5225-9825-1" TargetMode="External"/><Relationship Id="rId59" Type="http://schemas.openxmlformats.org/officeDocument/2006/relationships/hyperlink" Target="http://services.igi-global.com/resolvedoi/resolve.aspx?doi=10.4018/978-1-7998-3835-7" TargetMode="External"/><Relationship Id="rId103" Type="http://schemas.openxmlformats.org/officeDocument/2006/relationships/hyperlink" Target="http://services.igi-global.com/resolvedoi/resolve.aspx?doi=10.4018/978-1-7998-7110-1" TargetMode="External"/><Relationship Id="rId124" Type="http://schemas.openxmlformats.org/officeDocument/2006/relationships/hyperlink" Target="http://services.igi-global.com/resolvedoi/resolve.aspx?doi=10.4018/978-1-7998-1722-2" TargetMode="External"/><Relationship Id="rId70" Type="http://schemas.openxmlformats.org/officeDocument/2006/relationships/hyperlink" Target="http://services.igi-global.com/resolvedoi/resolve.aspx?doi=10.4018/978-1-7998-4096-1" TargetMode="External"/><Relationship Id="rId91" Type="http://schemas.openxmlformats.org/officeDocument/2006/relationships/hyperlink" Target="http://services.igi-global.com/resolvedoi/resolve.aspx?doi=10.4018/978-1-7998-4960-5" TargetMode="External"/><Relationship Id="rId145" Type="http://schemas.openxmlformats.org/officeDocument/2006/relationships/hyperlink" Target="http://services.igi-global.com/resolvedoi/resolve.aspx?doi=10.4018/978-1-5225-0613-3" TargetMode="External"/><Relationship Id="rId166" Type="http://schemas.openxmlformats.org/officeDocument/2006/relationships/hyperlink" Target="http://services.igi-global.com/resolvedoi/resolve.aspx?doi=10.4018/978-1-5225-9924-1" TargetMode="External"/><Relationship Id="rId187" Type="http://schemas.openxmlformats.org/officeDocument/2006/relationships/hyperlink" Target="http://services.igi-global.com/resolvedoi/resolve.aspx?doi=10.4018/978-1-7998-2645-3" TargetMode="External"/><Relationship Id="rId1" Type="http://schemas.openxmlformats.org/officeDocument/2006/relationships/hyperlink" Target="http://services.igi-global.com/resolvedoi/resolve.aspx?doi=10.4018/978-1-5225-0347-7" TargetMode="External"/><Relationship Id="rId212" Type="http://schemas.openxmlformats.org/officeDocument/2006/relationships/hyperlink" Target="http://services.igi-global.com/resolvedoi/resolve.aspx?doi=10.4018/978-1-7998-4703-8" TargetMode="External"/><Relationship Id="rId233" Type="http://schemas.openxmlformats.org/officeDocument/2006/relationships/hyperlink" Target="http://services.igi-global.com/resolvedoi/resolve.aspx?doi=10.4018/978-1-7998-5563-7" TargetMode="External"/><Relationship Id="rId254" Type="http://schemas.openxmlformats.org/officeDocument/2006/relationships/table" Target="../tables/table11.xml"/><Relationship Id="rId28" Type="http://schemas.openxmlformats.org/officeDocument/2006/relationships/hyperlink" Target="http://services.igi-global.com/resolvedoi/resolve.aspx?doi=10.4018/978-1-7998-0111-5" TargetMode="External"/><Relationship Id="rId49" Type="http://schemas.openxmlformats.org/officeDocument/2006/relationships/hyperlink" Target="http://services.igi-global.com/resolvedoi/resolve.aspx?doi=10.4018/978-1-7998-2220-2" TargetMode="External"/><Relationship Id="rId114" Type="http://schemas.openxmlformats.org/officeDocument/2006/relationships/hyperlink" Target="http://services.igi-global.com/resolvedoi/resolve.aspx?doi=10.4018/978-1-7998-5718-1" TargetMode="External"/><Relationship Id="rId60" Type="http://schemas.openxmlformats.org/officeDocument/2006/relationships/hyperlink" Target="http://services.igi-global.com/resolvedoi/resolve.aspx?doi=10.4018/978-1-7998-4231-6" TargetMode="External"/><Relationship Id="rId81" Type="http://schemas.openxmlformats.org/officeDocument/2006/relationships/hyperlink" Target="http://services.igi-global.com/resolvedoi/resolve.aspx?doi=10.4018/978-1-7998-4670-3" TargetMode="External"/><Relationship Id="rId135" Type="http://schemas.openxmlformats.org/officeDocument/2006/relationships/hyperlink" Target="http://services.igi-global.com/resolvedoi/resolve.aspx?doi=10.4018/978-1-7998-3594-3" TargetMode="External"/><Relationship Id="rId156" Type="http://schemas.openxmlformats.org/officeDocument/2006/relationships/hyperlink" Target="http://services.igi-global.com/resolvedoi/resolve.aspx?doi=10.4018/978-1-5225-9238-9" TargetMode="External"/><Relationship Id="rId177" Type="http://schemas.openxmlformats.org/officeDocument/2006/relationships/hyperlink" Target="http://services.igi-global.com/resolvedoi/resolve.aspx?doi=10.4018/978-1-7998-1839-7" TargetMode="External"/><Relationship Id="rId198" Type="http://schemas.openxmlformats.org/officeDocument/2006/relationships/hyperlink" Target="http://services.igi-global.com/resolvedoi/resolve.aspx?doi=10.4018/978-1-7998-0301-0" TargetMode="External"/><Relationship Id="rId202" Type="http://schemas.openxmlformats.org/officeDocument/2006/relationships/hyperlink" Target="http://services.igi-global.com/resolvedoi/resolve.aspx?doi=10.4018/978-1-7998-3817-3" TargetMode="External"/><Relationship Id="rId223" Type="http://schemas.openxmlformats.org/officeDocument/2006/relationships/hyperlink" Target="http://services.igi-global.com/resolvedoi/resolve.aspx?doi=10.4018/978-1-7998-4948-3" TargetMode="External"/><Relationship Id="rId244" Type="http://schemas.openxmlformats.org/officeDocument/2006/relationships/hyperlink" Target="http://services.igi-global.com/resolvedoi/resolve.aspx?doi=10.4018/978-1-5225-2145-7" TargetMode="External"/><Relationship Id="rId18" Type="http://schemas.openxmlformats.org/officeDocument/2006/relationships/hyperlink" Target="http://services.igi-global.com/resolvedoi/resolve.aspx?doi=10.4018/978-1-5225-8476-6" TargetMode="External"/><Relationship Id="rId39" Type="http://schemas.openxmlformats.org/officeDocument/2006/relationships/hyperlink" Target="http://services.igi-global.com/resolvedoi/resolve.aspx?doi=10.4018/978-1-7998-1104-6" TargetMode="External"/><Relationship Id="rId50" Type="http://schemas.openxmlformats.org/officeDocument/2006/relationships/hyperlink" Target="http://services.igi-global.com/resolvedoi/resolve.aspx?doi=10.4018/978-1-7998-2128-1" TargetMode="External"/><Relationship Id="rId104" Type="http://schemas.openxmlformats.org/officeDocument/2006/relationships/hyperlink" Target="http://services.igi-global.com/resolvedoi/resolve.aspx?doi=10.4018/978-1-7998-6458-5" TargetMode="External"/><Relationship Id="rId125" Type="http://schemas.openxmlformats.org/officeDocument/2006/relationships/hyperlink" Target="http://services.igi-global.com/resolvedoi/resolve.aspx?doi=10.4018/978-1-7998-2088-8" TargetMode="External"/><Relationship Id="rId146" Type="http://schemas.openxmlformats.org/officeDocument/2006/relationships/hyperlink" Target="http://services.igi-global.com/resolvedoi/resolve.aspx?doi=10.4018/978-1-5225-4162-2" TargetMode="External"/><Relationship Id="rId167" Type="http://schemas.openxmlformats.org/officeDocument/2006/relationships/hyperlink" Target="http://services.igi-global.com/resolvedoi/resolve.aspx?doi=10.4018/978-1-7998-0369-0" TargetMode="External"/><Relationship Id="rId188" Type="http://schemas.openxmlformats.org/officeDocument/2006/relationships/hyperlink" Target="http://services.igi-global.com/resolvedoi/resolve.aspx?doi=10.4018/978-1-7998-3624-7" TargetMode="External"/><Relationship Id="rId71" Type="http://schemas.openxmlformats.org/officeDocument/2006/relationships/hyperlink" Target="http://services.igi-global.com/resolvedoi/resolve.aspx?doi=10.4018/978-1-7998-4099-2" TargetMode="External"/><Relationship Id="rId92" Type="http://schemas.openxmlformats.org/officeDocument/2006/relationships/hyperlink" Target="http://services.igi-global.com/resolvedoi/resolve.aspx?doi=10.4018/978-1-7998-4975-9" TargetMode="External"/><Relationship Id="rId213" Type="http://schemas.openxmlformats.org/officeDocument/2006/relationships/hyperlink" Target="http://services.igi-global.com/resolvedoi/resolve.aspx?doi=10.4018/978-1-7998-4706-9" TargetMode="External"/><Relationship Id="rId234" Type="http://schemas.openxmlformats.org/officeDocument/2006/relationships/hyperlink" Target="http://services.igi-global.com/resolvedoi/resolve.aspx?doi=10.4018/978-1-7998-7708-0" TargetMode="External"/><Relationship Id="rId2" Type="http://schemas.openxmlformats.org/officeDocument/2006/relationships/hyperlink" Target="http://services.igi-global.com/resolvedoi/resolve.aspx?doi=10.4018/978-1-5225-0094-0" TargetMode="External"/><Relationship Id="rId29" Type="http://schemas.openxmlformats.org/officeDocument/2006/relationships/hyperlink" Target="http://services.igi-global.com/resolvedoi/resolve.aspx?doi=10.4018/978-1-5225-9928-9" TargetMode="External"/><Relationship Id="rId40" Type="http://schemas.openxmlformats.org/officeDocument/2006/relationships/hyperlink" Target="http://services.igi-global.com/resolvedoi/resolve.aspx?doi=10.4018/978-1-7998-1651-5" TargetMode="External"/><Relationship Id="rId115" Type="http://schemas.openxmlformats.org/officeDocument/2006/relationships/hyperlink" Target="http://services.igi-global.com/resolvedoi/resolve.aspx?doi=10.4018/978-1-7998-5514-9" TargetMode="External"/><Relationship Id="rId136" Type="http://schemas.openxmlformats.org/officeDocument/2006/relationships/hyperlink" Target="http://services.igi-global.com/resolvedoi/resolve.aspx?doi=10.4018/978-1-7998-3432-8" TargetMode="External"/><Relationship Id="rId157" Type="http://schemas.openxmlformats.org/officeDocument/2006/relationships/hyperlink" Target="http://services.igi-global.com/resolvedoi/resolve.aspx?doi=10.4018/978-1-5225-9246-4" TargetMode="External"/><Relationship Id="rId178" Type="http://schemas.openxmlformats.org/officeDocument/2006/relationships/hyperlink" Target="http://services.igi-global.com/resolvedoi/resolve.aspx?doi=10.4018/978-1-7998-2975-1" TargetMode="External"/><Relationship Id="rId61" Type="http://schemas.openxmlformats.org/officeDocument/2006/relationships/hyperlink" Target="http://services.igi-global.com/resolvedoi/resolve.aspx?doi=10.4018/978-1-7998-5171-4" TargetMode="External"/><Relationship Id="rId82" Type="http://schemas.openxmlformats.org/officeDocument/2006/relationships/hyperlink" Target="http://services.igi-global.com/resolvedoi/resolve.aspx?doi=10.4018/978-1-7998-4721-2" TargetMode="External"/><Relationship Id="rId199" Type="http://schemas.openxmlformats.org/officeDocument/2006/relationships/hyperlink" Target="http://services.igi-global.com/resolvedoi/resolve.aspx?doi=10.4018/978-1-7998-4730-4" TargetMode="External"/><Relationship Id="rId203" Type="http://schemas.openxmlformats.org/officeDocument/2006/relationships/hyperlink" Target="http://services.igi-global.com/resolvedoi/resolve.aspx?doi=10.4018/978-1-7998-3829-6" TargetMode="External"/><Relationship Id="rId19" Type="http://schemas.openxmlformats.org/officeDocument/2006/relationships/hyperlink" Target="http://services.igi-global.com/resolvedoi/resolve.aspx?doi=10.4018/978-1-5225-8547-3" TargetMode="External"/><Relationship Id="rId224" Type="http://schemas.openxmlformats.org/officeDocument/2006/relationships/hyperlink" Target="http://services.igi-global.com/resolvedoi/resolve.aspx?doi=10.4018/978-1-7998-5027-4" TargetMode="External"/><Relationship Id="rId245" Type="http://schemas.openxmlformats.org/officeDocument/2006/relationships/hyperlink" Target="http://services.igi-global.com/resolvedoi/resolve.aspx?doi=10.4018/978-1-5225-8188-8" TargetMode="External"/><Relationship Id="rId30" Type="http://schemas.openxmlformats.org/officeDocument/2006/relationships/hyperlink" Target="http://services.igi-global.com/resolvedoi/resolve.aspx?doi=10.4018/978-1-7998-0035-4" TargetMode="External"/><Relationship Id="rId105" Type="http://schemas.openxmlformats.org/officeDocument/2006/relationships/hyperlink" Target="http://services.igi-global.com/resolvedoi/resolve.aspx?doi=10.4018/978-1-7998-6681-7" TargetMode="External"/><Relationship Id="rId126" Type="http://schemas.openxmlformats.org/officeDocument/2006/relationships/hyperlink" Target="http://services.igi-global.com/resolvedoi/resolve.aspx?doi=10.4018/978-1-7998-2101-4" TargetMode="External"/><Relationship Id="rId147" Type="http://schemas.openxmlformats.org/officeDocument/2006/relationships/hyperlink" Target="http://services.igi-global.com/resolvedoi/resolve.aspx?doi=10.4018/978-1-5225-5314-4" TargetMode="External"/><Relationship Id="rId168" Type="http://schemas.openxmlformats.org/officeDocument/2006/relationships/hyperlink" Target="http://services.igi-global.com/resolvedoi/resolve.aspx?doi=10.4018/978-1-7998-1886-1" TargetMode="External"/><Relationship Id="rId51" Type="http://schemas.openxmlformats.org/officeDocument/2006/relationships/hyperlink" Target="http://services.igi-global.com/resolvedoi/resolve.aspx?doi=10.4018/978-1-7998-2469-5" TargetMode="External"/><Relationship Id="rId72" Type="http://schemas.openxmlformats.org/officeDocument/2006/relationships/hyperlink" Target="http://services.igi-global.com/resolvedoi/resolve.aspx?doi=10.4018/978-1-7998-4108-1" TargetMode="External"/><Relationship Id="rId93" Type="http://schemas.openxmlformats.org/officeDocument/2006/relationships/hyperlink" Target="http://services.igi-global.com/resolvedoi/resolve.aspx?doi=10.4018/978-1-7998-5036-6" TargetMode="External"/><Relationship Id="rId189" Type="http://schemas.openxmlformats.org/officeDocument/2006/relationships/hyperlink" Target="http://services.igi-global.com/resolvedoi/resolve.aspx?doi=10.4018/978-1-7998-3640-7" TargetMode="External"/><Relationship Id="rId3" Type="http://schemas.openxmlformats.org/officeDocument/2006/relationships/hyperlink" Target="http://services.igi-global.com/resolvedoi/resolve.aspx?doi=10.4018/978-1-4666-9577-1" TargetMode="External"/><Relationship Id="rId214" Type="http://schemas.openxmlformats.org/officeDocument/2006/relationships/hyperlink" Target="http://services.igi-global.com/resolvedoi/resolve.aspx?doi=10.4018/978-1-7998-4775-5" TargetMode="External"/><Relationship Id="rId235" Type="http://schemas.openxmlformats.org/officeDocument/2006/relationships/hyperlink" Target="http://services.igi-global.com/resolvedoi/resolve.aspx?doi=10.4018/978-1-7998-6467-7" TargetMode="External"/><Relationship Id="rId116" Type="http://schemas.openxmlformats.org/officeDocument/2006/relationships/hyperlink" Target="http://services.igi-global.com/resolvedoi/resolve.aspx?doi=10.4018/978-1-7998-5753-2" TargetMode="External"/><Relationship Id="rId137" Type="http://schemas.openxmlformats.org/officeDocument/2006/relationships/hyperlink" Target="http://services.igi-global.com/resolvedoi/resolve.aspx?doi=10.4018/978-1-7998-5000-7" TargetMode="External"/><Relationship Id="rId158" Type="http://schemas.openxmlformats.org/officeDocument/2006/relationships/hyperlink" Target="http://services.igi-global.com/resolvedoi/resolve.aspx?doi=10.4018/978-1-7998-2736-8" TargetMode="External"/><Relationship Id="rId20" Type="http://schemas.openxmlformats.org/officeDocument/2006/relationships/hyperlink" Target="http://services.igi-global.com/resolvedoi/resolve.aspx?doi=10.4018/978-1-5225-9269-3" TargetMode="External"/><Relationship Id="rId41" Type="http://schemas.openxmlformats.org/officeDocument/2006/relationships/hyperlink" Target="http://services.igi-global.com/resolvedoi/resolve.aspx?doi=10.4018/978-1-5225-9837-4" TargetMode="External"/><Relationship Id="rId62" Type="http://schemas.openxmlformats.org/officeDocument/2006/relationships/hyperlink" Target="http://services.igi-global.com/resolvedoi/resolve.aspx?doi=10.4018/978-1-7998-5268-1" TargetMode="External"/><Relationship Id="rId83" Type="http://schemas.openxmlformats.org/officeDocument/2006/relationships/hyperlink" Target="http://services.igi-global.com/resolvedoi/resolve.aspx?doi=10.4018/978-1-7998-4745-8" TargetMode="External"/><Relationship Id="rId179" Type="http://schemas.openxmlformats.org/officeDocument/2006/relationships/hyperlink" Target="http://services.igi-global.com/resolvedoi/resolve.aspx?doi=10.4018/978-1-7998-3038-2" TargetMode="External"/><Relationship Id="rId190" Type="http://schemas.openxmlformats.org/officeDocument/2006/relationships/hyperlink" Target="http://services.igi-global.com/resolvedoi/resolve.aspx?doi=10.4018/978-1-7998-3661-2" TargetMode="External"/><Relationship Id="rId204" Type="http://schemas.openxmlformats.org/officeDocument/2006/relationships/hyperlink" Target="http://services.igi-global.com/resolvedoi/resolve.aspx?doi=10.4018/978-1-7998-3856-2" TargetMode="External"/><Relationship Id="rId225" Type="http://schemas.openxmlformats.org/officeDocument/2006/relationships/hyperlink" Target="http://services.igi-global.com/resolvedoi/resolve.aspx?doi=10.4018/978-1-7998-5876-8" TargetMode="External"/><Relationship Id="rId246" Type="http://schemas.openxmlformats.org/officeDocument/2006/relationships/hyperlink" Target="http://services.igi-global.com/resolvedoi/resolve.aspx?doi=10.4018/978-1-5225-9485-7" TargetMode="External"/><Relationship Id="rId106" Type="http://schemas.openxmlformats.org/officeDocument/2006/relationships/hyperlink" Target="http://services.igi-global.com/resolvedoi/resolve.aspx?doi=10.4018/978-1-7998-7053-1" TargetMode="External"/><Relationship Id="rId127" Type="http://schemas.openxmlformats.org/officeDocument/2006/relationships/hyperlink" Target="http://services.igi-global.com/resolvedoi/resolve.aspx?doi=10.4018/978-1-7998-2521-0" TargetMode="External"/><Relationship Id="rId10" Type="http://schemas.openxmlformats.org/officeDocument/2006/relationships/hyperlink" Target="http://services.igi-global.com/resolvedoi/resolve.aspx?doi=10.4018/978-1-5225-8109-3" TargetMode="External"/><Relationship Id="rId31" Type="http://schemas.openxmlformats.org/officeDocument/2006/relationships/hyperlink" Target="http://services.igi-global.com/resolvedoi/resolve.aspx?doi=10.4018/978-1-7998-1412-2" TargetMode="External"/><Relationship Id="rId52" Type="http://schemas.openxmlformats.org/officeDocument/2006/relationships/hyperlink" Target="http://services.igi-global.com/resolvedoi/resolve.aspx?doi=10.4018/978-1-7998-2273-8" TargetMode="External"/><Relationship Id="rId73" Type="http://schemas.openxmlformats.org/officeDocument/2006/relationships/hyperlink" Target="http://services.igi-global.com/resolvedoi/resolve.aspx?doi=10.4018/978-1-7998-4162-3" TargetMode="External"/><Relationship Id="rId94" Type="http://schemas.openxmlformats.org/officeDocument/2006/relationships/hyperlink" Target="http://services.igi-global.com/resolvedoi/resolve.aspx?doi=10.4018/978-1-7998-5040-3" TargetMode="External"/><Relationship Id="rId148" Type="http://schemas.openxmlformats.org/officeDocument/2006/relationships/hyperlink" Target="http://services.igi-global.com/resolvedoi/resolve.aspx?doi=10.4018/978-1-5225-3126-5" TargetMode="External"/><Relationship Id="rId169" Type="http://schemas.openxmlformats.org/officeDocument/2006/relationships/hyperlink" Target="http://services.igi-global.com/resolvedoi/resolve.aspx?doi=10.4018/978-1-7998-0948-7" TargetMode="External"/><Relationship Id="rId4" Type="http://schemas.openxmlformats.org/officeDocument/2006/relationships/hyperlink" Target="http://services.igi-global.com/resolvedoi/resolve.aspx?doi=10.4018/978-1-5225-2081-8" TargetMode="External"/><Relationship Id="rId180" Type="http://schemas.openxmlformats.org/officeDocument/2006/relationships/hyperlink" Target="http://services.igi-global.com/resolvedoi/resolve.aspx?doi=10.4018/978-1-7998-2444-2" TargetMode="External"/><Relationship Id="rId215" Type="http://schemas.openxmlformats.org/officeDocument/2006/relationships/hyperlink" Target="http://services.igi-global.com/resolvedoi/resolve.aspx?doi=10.4018/978-1-7998-4870-7" TargetMode="External"/><Relationship Id="rId236" Type="http://schemas.openxmlformats.org/officeDocument/2006/relationships/hyperlink" Target="http://services.igi-global.com/resolvedoi/resolve.aspx?doi=10.4018/978-1-7998-2649-1" TargetMode="External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://services.igi-global.com/resolvedoi/resolve.aspx?doi=10.4018/978-1-7998-0441-3" TargetMode="External"/><Relationship Id="rId21" Type="http://schemas.openxmlformats.org/officeDocument/2006/relationships/hyperlink" Target="http://services.igi-global.com/resolvedoi/resolve.aspx?doi=10.4018/978-1-7998-2216-5" TargetMode="External"/><Relationship Id="rId42" Type="http://schemas.openxmlformats.org/officeDocument/2006/relationships/hyperlink" Target="http://services.igi-global.com/resolvedoi/resolve.aspx?doi=10.4018/978-1-7998-7418-8" TargetMode="External"/><Relationship Id="rId63" Type="http://schemas.openxmlformats.org/officeDocument/2006/relationships/hyperlink" Target="http://services.igi-global.com/resolvedoi/resolve.aspx?doi=10.4018/978-1-7998-7697-7" TargetMode="External"/><Relationship Id="rId84" Type="http://schemas.openxmlformats.org/officeDocument/2006/relationships/hyperlink" Target="http://services.igi-global.com/resolvedoi/resolve.aspx?doi=10.4018/978-1-5225-7525-2" TargetMode="External"/><Relationship Id="rId138" Type="http://schemas.openxmlformats.org/officeDocument/2006/relationships/hyperlink" Target="http://services.igi-global.com/resolvedoi/resolve.aspx?doi=10.4018/978-1-6684-2408-7" TargetMode="External"/><Relationship Id="rId159" Type="http://schemas.openxmlformats.org/officeDocument/2006/relationships/hyperlink" Target="http://services.igi-global.com/resolvedoi/resolve.aspx?doi=10.4018/978-1-7998-8413-2" TargetMode="External"/><Relationship Id="rId107" Type="http://schemas.openxmlformats.org/officeDocument/2006/relationships/hyperlink" Target="http://services.igi-global.com/resolvedoi/resolve.aspx?doi=10.4018/978-1-7998-9198-7" TargetMode="External"/><Relationship Id="rId11" Type="http://schemas.openxmlformats.org/officeDocument/2006/relationships/hyperlink" Target="http://services.igi-global.com/resolvedoi/resolve.aspx?doi=10.4018/978-1-5225-9096-5" TargetMode="External"/><Relationship Id="rId32" Type="http://schemas.openxmlformats.org/officeDocument/2006/relationships/hyperlink" Target="http://services.igi-global.com/resolvedoi/resolve.aspx?doi=10.4018/978-1-7998-4903-2" TargetMode="External"/><Relationship Id="rId53" Type="http://schemas.openxmlformats.org/officeDocument/2006/relationships/hyperlink" Target="http://services.igi-global.com/resolvedoi/resolve.aspx?doi=10.4018/978-1-6684-3670-7" TargetMode="External"/><Relationship Id="rId74" Type="http://schemas.openxmlformats.org/officeDocument/2006/relationships/hyperlink" Target="http://services.igi-global.com/resolvedoi/resolve.aspx?doi=10.4018/978-1-6684-3881-7" TargetMode="External"/><Relationship Id="rId128" Type="http://schemas.openxmlformats.org/officeDocument/2006/relationships/hyperlink" Target="http://services.igi-global.com/resolvedoi/resolve.aspx?doi=10.4018/978-1-7998-7626-7" TargetMode="External"/><Relationship Id="rId149" Type="http://schemas.openxmlformats.org/officeDocument/2006/relationships/hyperlink" Target="http://services.igi-global.com/resolvedoi/resolve.aspx?doi=10.4018/978-1-6684-4012-4" TargetMode="External"/><Relationship Id="rId5" Type="http://schemas.openxmlformats.org/officeDocument/2006/relationships/hyperlink" Target="http://services.igi-global.com/resolvedoi/resolve.aspx?doi=10.4018/978-1-5225-0816-8" TargetMode="External"/><Relationship Id="rId95" Type="http://schemas.openxmlformats.org/officeDocument/2006/relationships/hyperlink" Target="http://services.igi-global.com/resolvedoi/resolve.aspx?doi=10.4018/978-1-7998-4486-0" TargetMode="External"/><Relationship Id="rId160" Type="http://schemas.openxmlformats.org/officeDocument/2006/relationships/hyperlink" Target="http://services.igi-global.com/resolvedoi/resolve.aspx?doi=10.4018/978-1-7998-8455-2" TargetMode="External"/><Relationship Id="rId22" Type="http://schemas.openxmlformats.org/officeDocument/2006/relationships/hyperlink" Target="http://services.igi-global.com/resolvedoi/resolve.aspx?doi=10.4018/978-1-7998-2588-3" TargetMode="External"/><Relationship Id="rId43" Type="http://schemas.openxmlformats.org/officeDocument/2006/relationships/hyperlink" Target="http://services.igi-global.com/resolvedoi/resolve.aspx?doi=10.4018/978-1-7998-7772-1" TargetMode="External"/><Relationship Id="rId64" Type="http://schemas.openxmlformats.org/officeDocument/2006/relationships/hyperlink" Target="http://services.igi-global.com/resolvedoi/resolve.aspx?doi=10.4018/978-1-7998-8267-1" TargetMode="External"/><Relationship Id="rId118" Type="http://schemas.openxmlformats.org/officeDocument/2006/relationships/hyperlink" Target="http://services.igi-global.com/resolvedoi/resolve.aspx?doi=10.4018/978-1-5225-9683-7" TargetMode="External"/><Relationship Id="rId139" Type="http://schemas.openxmlformats.org/officeDocument/2006/relationships/hyperlink" Target="http://services.igi-global.com/resolvedoi/resolve.aspx?doi=10.4018/978-1-7998-7556-7" TargetMode="External"/><Relationship Id="rId85" Type="http://schemas.openxmlformats.org/officeDocument/2006/relationships/hyperlink" Target="http://services.igi-global.com/resolvedoi/resolve.aspx?doi=10.4018/978-1-5225-7666-2" TargetMode="External"/><Relationship Id="rId150" Type="http://schemas.openxmlformats.org/officeDocument/2006/relationships/hyperlink" Target="http://services.igi-global.com/resolvedoi/resolve.aspx?doi=10.4018/978-1-7998-8161-2" TargetMode="External"/><Relationship Id="rId12" Type="http://schemas.openxmlformats.org/officeDocument/2006/relationships/hyperlink" Target="http://services.igi-global.com/resolvedoi/resolve.aspx?doi=10.4018/978-1-5225-9279-2" TargetMode="External"/><Relationship Id="rId17" Type="http://schemas.openxmlformats.org/officeDocument/2006/relationships/hyperlink" Target="http://services.igi-global.com/resolvedoi/resolve.aspx?doi=10.4018/978-1-7998-1219-7" TargetMode="External"/><Relationship Id="rId33" Type="http://schemas.openxmlformats.org/officeDocument/2006/relationships/hyperlink" Target="http://services.igi-global.com/resolvedoi/resolve.aspx?doi=10.4018/978-1-7998-7596-3" TargetMode="External"/><Relationship Id="rId38" Type="http://schemas.openxmlformats.org/officeDocument/2006/relationships/hyperlink" Target="http://services.igi-global.com/resolvedoi/resolve.aspx?doi=10.4018/978-1-7998-7585-7" TargetMode="External"/><Relationship Id="rId59" Type="http://schemas.openxmlformats.org/officeDocument/2006/relationships/hyperlink" Target="http://services.igi-global.com/resolvedoi/resolve.aspx?doi=10.4018/978-1-7998-7712-7" TargetMode="External"/><Relationship Id="rId103" Type="http://schemas.openxmlformats.org/officeDocument/2006/relationships/hyperlink" Target="http://services.igi-global.com/resolvedoi/resolve.aspx?doi=10.4018/978-1-7998-7709-7" TargetMode="External"/><Relationship Id="rId108" Type="http://schemas.openxmlformats.org/officeDocument/2006/relationships/hyperlink" Target="http://services.igi-global.com/resolvedoi/resolve.aspx?doi=10.4018/978-1-7998-8459-0" TargetMode="External"/><Relationship Id="rId124" Type="http://schemas.openxmlformats.org/officeDocument/2006/relationships/hyperlink" Target="http://services.igi-global.com/resolvedoi/resolve.aspx?doi=10.4018/978-1-7998-6709-8" TargetMode="External"/><Relationship Id="rId129" Type="http://schemas.openxmlformats.org/officeDocument/2006/relationships/hyperlink" Target="http://services.igi-global.com/resolvedoi/resolve.aspx?doi=10.4018/978-1-7998-3299-7" TargetMode="External"/><Relationship Id="rId54" Type="http://schemas.openxmlformats.org/officeDocument/2006/relationships/hyperlink" Target="http://services.igi-global.com/resolvedoi/resolve.aspx?doi=10.4018/978-1-7998-8275-6" TargetMode="External"/><Relationship Id="rId70" Type="http://schemas.openxmlformats.org/officeDocument/2006/relationships/hyperlink" Target="http://services.igi-global.com/resolvedoi/resolve.aspx?doi=10.4018/978-1-7998-8262-6" TargetMode="External"/><Relationship Id="rId75" Type="http://schemas.openxmlformats.org/officeDocument/2006/relationships/hyperlink" Target="http://services.igi-global.com/resolvedoi/resolve.aspx?doi=10.4018/978-1-7998-8594-8" TargetMode="External"/><Relationship Id="rId91" Type="http://schemas.openxmlformats.org/officeDocument/2006/relationships/hyperlink" Target="http://services.igi-global.com/resolvedoi/resolve.aspx?doi=10.4018/978-1-5225-7952-6" TargetMode="External"/><Relationship Id="rId96" Type="http://schemas.openxmlformats.org/officeDocument/2006/relationships/hyperlink" Target="http://services.igi-global.com/resolvedoi/resolve.aspx?doi=10.4018/978-1-7998-5354-1" TargetMode="External"/><Relationship Id="rId140" Type="http://schemas.openxmlformats.org/officeDocument/2006/relationships/hyperlink" Target="http://services.igi-global.com/resolvedoi/resolve.aspx?doi=10.4018/978-1-7998-8900-7" TargetMode="External"/><Relationship Id="rId145" Type="http://schemas.openxmlformats.org/officeDocument/2006/relationships/hyperlink" Target="http://services.igi-global.com/resolvedoi/resolve.aspx?doi=10.4018/978-1-7998-4186-9" TargetMode="External"/><Relationship Id="rId161" Type="http://schemas.openxmlformats.org/officeDocument/2006/relationships/hyperlink" Target="http://services.igi-global.com/resolvedoi/resolve.aspx?doi=10.4018/978-1-7998-9132-1" TargetMode="External"/><Relationship Id="rId1" Type="http://schemas.openxmlformats.org/officeDocument/2006/relationships/hyperlink" Target="http://services.igi-global.com/resolvedoi/resolve.aspx?doi=10.4018/978-1-5225-2554-7" TargetMode="External"/><Relationship Id="rId6" Type="http://schemas.openxmlformats.org/officeDocument/2006/relationships/hyperlink" Target="http://services.igi-global.com/resolvedoi/resolve.aspx?doi=10.4018/978-1-5225-0510-5" TargetMode="External"/><Relationship Id="rId23" Type="http://schemas.openxmlformats.org/officeDocument/2006/relationships/hyperlink" Target="http://services.igi-global.com/resolvedoi/resolve.aspx?doi=10.4018/978-1-7998-3266-9" TargetMode="External"/><Relationship Id="rId28" Type="http://schemas.openxmlformats.org/officeDocument/2006/relationships/hyperlink" Target="http://services.igi-global.com/resolvedoi/resolve.aspx?doi=10.4018/978-1-7998-5018-2" TargetMode="External"/><Relationship Id="rId49" Type="http://schemas.openxmlformats.org/officeDocument/2006/relationships/hyperlink" Target="http://services.igi-global.com/resolvedoi/resolve.aspx?doi=10.4018/978-1-7998-4799-1" TargetMode="External"/><Relationship Id="rId114" Type="http://schemas.openxmlformats.org/officeDocument/2006/relationships/hyperlink" Target="http://services.igi-global.com/resolvedoi/resolve.aspx?doi=10.4018/978-1-5225-5634-3" TargetMode="External"/><Relationship Id="rId119" Type="http://schemas.openxmlformats.org/officeDocument/2006/relationships/hyperlink" Target="http://services.igi-global.com/resolvedoi/resolve.aspx?doi=10.4018/978-1-7998-0951-7" TargetMode="External"/><Relationship Id="rId44" Type="http://schemas.openxmlformats.org/officeDocument/2006/relationships/hyperlink" Target="http://services.igi-global.com/resolvedoi/resolve.aspx?doi=10.4018/978-1-7998-4261-3" TargetMode="External"/><Relationship Id="rId60" Type="http://schemas.openxmlformats.org/officeDocument/2006/relationships/hyperlink" Target="http://services.igi-global.com/resolvedoi/resolve.aspx?doi=10.4018/978-1-7998-7959-6" TargetMode="External"/><Relationship Id="rId65" Type="http://schemas.openxmlformats.org/officeDocument/2006/relationships/hyperlink" Target="http://services.igi-global.com/resolvedoi/resolve.aspx?doi=10.4018/978-1-7998-8497-2" TargetMode="External"/><Relationship Id="rId81" Type="http://schemas.openxmlformats.org/officeDocument/2006/relationships/hyperlink" Target="http://services.igi-global.com/resolvedoi/resolve.aspx?doi=10.4018/978-1-5225-5149-2" TargetMode="External"/><Relationship Id="rId86" Type="http://schemas.openxmlformats.org/officeDocument/2006/relationships/hyperlink" Target="http://services.igi-global.com/resolvedoi/resolve.aspx?doi=10.4018/978-1-5225-7384-5" TargetMode="External"/><Relationship Id="rId130" Type="http://schemas.openxmlformats.org/officeDocument/2006/relationships/hyperlink" Target="http://services.igi-global.com/resolvedoi/resolve.aspx?doi=10.4018/978-1-7998-7371-6" TargetMode="External"/><Relationship Id="rId135" Type="http://schemas.openxmlformats.org/officeDocument/2006/relationships/hyperlink" Target="http://services.igi-global.com/resolvedoi/resolve.aspx?doi=10.4018/978-1-7998-6992-4" TargetMode="External"/><Relationship Id="rId151" Type="http://schemas.openxmlformats.org/officeDocument/2006/relationships/hyperlink" Target="http://services.igi-global.com/resolvedoi/resolve.aspx?doi=10.4018/978-1-7998-8331-9" TargetMode="External"/><Relationship Id="rId156" Type="http://schemas.openxmlformats.org/officeDocument/2006/relationships/hyperlink" Target="http://services.igi-global.com/resolvedoi/resolve.aspx?doi=10.4018/978-1-7998-8786-7" TargetMode="External"/><Relationship Id="rId13" Type="http://schemas.openxmlformats.org/officeDocument/2006/relationships/hyperlink" Target="http://services.igi-global.com/resolvedoi/resolve.aspx?doi=10.4018/978-1-5225-9936-4" TargetMode="External"/><Relationship Id="rId18" Type="http://schemas.openxmlformats.org/officeDocument/2006/relationships/hyperlink" Target="http://services.igi-global.com/resolvedoi/resolve.aspx?doi=10.4018/978-1-7998-1962-2" TargetMode="External"/><Relationship Id="rId39" Type="http://schemas.openxmlformats.org/officeDocument/2006/relationships/hyperlink" Target="http://services.igi-global.com/resolvedoi/resolve.aspx?doi=10.4018/978-1-7998-7634-2" TargetMode="External"/><Relationship Id="rId109" Type="http://schemas.openxmlformats.org/officeDocument/2006/relationships/hyperlink" Target="http://services.igi-global.com/resolvedoi/resolve.aspx?doi=10.4018/978-1-7998-7433-1" TargetMode="External"/><Relationship Id="rId34" Type="http://schemas.openxmlformats.org/officeDocument/2006/relationships/hyperlink" Target="http://services.igi-global.com/resolvedoi/resolve.aspx?doi=10.4018/978-1-7998-7512-3" TargetMode="External"/><Relationship Id="rId50" Type="http://schemas.openxmlformats.org/officeDocument/2006/relationships/hyperlink" Target="http://services.igi-global.com/resolvedoi/resolve.aspx?doi=10.4018/978-1-7998-7339-6" TargetMode="External"/><Relationship Id="rId55" Type="http://schemas.openxmlformats.org/officeDocument/2006/relationships/hyperlink" Target="http://services.igi-global.com/resolvedoi/resolve.aspx?doi=10.4018/978-1-7998-8283-1" TargetMode="External"/><Relationship Id="rId76" Type="http://schemas.openxmlformats.org/officeDocument/2006/relationships/hyperlink" Target="http://services.igi-global.com/resolvedoi/resolve.aspx?doi=10.4018/978-1-7998-8609-9" TargetMode="External"/><Relationship Id="rId97" Type="http://schemas.openxmlformats.org/officeDocument/2006/relationships/hyperlink" Target="http://services.igi-global.com/resolvedoi/resolve.aspx?doi=10.4018/978-1-7998-5049-6" TargetMode="External"/><Relationship Id="rId104" Type="http://schemas.openxmlformats.org/officeDocument/2006/relationships/hyperlink" Target="http://services.igi-global.com/resolvedoi/resolve.aspx?doi=10.4018/978-1-7998-7415-7" TargetMode="External"/><Relationship Id="rId120" Type="http://schemas.openxmlformats.org/officeDocument/2006/relationships/hyperlink" Target="http://services.igi-global.com/resolvedoi/resolve.aspx?doi=10.4018/978-1-5225-9489-5" TargetMode="External"/><Relationship Id="rId125" Type="http://schemas.openxmlformats.org/officeDocument/2006/relationships/hyperlink" Target="http://services.igi-global.com/resolvedoi/resolve.aspx?doi=10.4018/978-1-7998-7078-4" TargetMode="External"/><Relationship Id="rId141" Type="http://schemas.openxmlformats.org/officeDocument/2006/relationships/hyperlink" Target="http://services.igi-global.com/resolvedoi/resolve.aspx?doi=10.4018/978-1-7998-7927-5" TargetMode="External"/><Relationship Id="rId146" Type="http://schemas.openxmlformats.org/officeDocument/2006/relationships/hyperlink" Target="http://services.igi-global.com/resolvedoi/resolve.aspx?doi=10.4018/978-1-7998-7955-8" TargetMode="External"/><Relationship Id="rId7" Type="http://schemas.openxmlformats.org/officeDocument/2006/relationships/hyperlink" Target="http://services.igi-global.com/resolvedoi/resolve.aspx?doi=10.4018/978-1-5225-5007-5" TargetMode="External"/><Relationship Id="rId71" Type="http://schemas.openxmlformats.org/officeDocument/2006/relationships/hyperlink" Target="http://services.igi-global.com/resolvedoi/resolve.aspx?doi=10.4018/978-1-7998-9035-5" TargetMode="External"/><Relationship Id="rId92" Type="http://schemas.openxmlformats.org/officeDocument/2006/relationships/hyperlink" Target="http://services.igi-global.com/resolvedoi/resolve.aspx?doi=10.4018/978-1-5225-9863-3" TargetMode="External"/><Relationship Id="rId162" Type="http://schemas.openxmlformats.org/officeDocument/2006/relationships/hyperlink" Target="http://services.igi-global.com/resolvedoi/resolve.aspx?doi=10.4018/978-1-7998-8382-1" TargetMode="External"/><Relationship Id="rId2" Type="http://schemas.openxmlformats.org/officeDocument/2006/relationships/hyperlink" Target="http://services.igi-global.com/resolvedoi/resolve.aspx?doi=10.4018/978-1-5225-1871-6" TargetMode="External"/><Relationship Id="rId29" Type="http://schemas.openxmlformats.org/officeDocument/2006/relationships/hyperlink" Target="http://services.igi-global.com/resolvedoi/resolve.aspx?doi=10.4018/978-1-7998-7254-2" TargetMode="External"/><Relationship Id="rId24" Type="http://schemas.openxmlformats.org/officeDocument/2006/relationships/hyperlink" Target="http://services.igi-global.com/resolvedoi/resolve.aspx?doi=10.4018/978-1-7998-3270-6" TargetMode="External"/><Relationship Id="rId40" Type="http://schemas.openxmlformats.org/officeDocument/2006/relationships/hyperlink" Target="http://services.igi-global.com/resolvedoi/resolve.aspx?doi=10.4018/978-1-7998-8758-4" TargetMode="External"/><Relationship Id="rId45" Type="http://schemas.openxmlformats.org/officeDocument/2006/relationships/hyperlink" Target="http://services.igi-global.com/resolvedoi/resolve.aspx?doi=10.4018/978-1-7998-7768-4" TargetMode="External"/><Relationship Id="rId66" Type="http://schemas.openxmlformats.org/officeDocument/2006/relationships/hyperlink" Target="http://services.igi-global.com/resolvedoi/resolve.aspx?doi=10.4018/978-1-7998-8501-6" TargetMode="External"/><Relationship Id="rId87" Type="http://schemas.openxmlformats.org/officeDocument/2006/relationships/hyperlink" Target="http://services.igi-global.com/resolvedoi/resolve.aspx?doi=10.4018/978-1-5225-7452-1" TargetMode="External"/><Relationship Id="rId110" Type="http://schemas.openxmlformats.org/officeDocument/2006/relationships/hyperlink" Target="http://services.igi-global.com/resolvedoi/resolve.aspx?doi=10.4018/978-1-7998-8929-8" TargetMode="External"/><Relationship Id="rId115" Type="http://schemas.openxmlformats.org/officeDocument/2006/relationships/hyperlink" Target="http://services.igi-global.com/resolvedoi/resolve.aspx?doi=10.4018/978-1-5225-7308-1" TargetMode="External"/><Relationship Id="rId131" Type="http://schemas.openxmlformats.org/officeDocument/2006/relationships/hyperlink" Target="http://services.igi-global.com/resolvedoi/resolve.aspx?doi=10.4018/978-1-7998-3850-0" TargetMode="External"/><Relationship Id="rId136" Type="http://schemas.openxmlformats.org/officeDocument/2006/relationships/hyperlink" Target="http://services.igi-global.com/resolvedoi/resolve.aspx?doi=10.4018/978-1-7998-7728-8" TargetMode="External"/><Relationship Id="rId157" Type="http://schemas.openxmlformats.org/officeDocument/2006/relationships/hyperlink" Target="http://services.igi-global.com/resolvedoi/resolve.aspx?doi=10.4018/978-1-6684-3885-5" TargetMode="External"/><Relationship Id="rId61" Type="http://schemas.openxmlformats.org/officeDocument/2006/relationships/hyperlink" Target="http://services.igi-global.com/resolvedoi/resolve.aspx?doi=10.4018/978-1-7998-7548-2" TargetMode="External"/><Relationship Id="rId82" Type="http://schemas.openxmlformats.org/officeDocument/2006/relationships/hyperlink" Target="http://services.igi-global.com/resolvedoi/resolve.aspx?doi=10.4018/978-1-5225-3241-5" TargetMode="External"/><Relationship Id="rId152" Type="http://schemas.openxmlformats.org/officeDocument/2006/relationships/hyperlink" Target="http://services.igi-global.com/resolvedoi/resolve.aspx?doi=10.4018/978-1-7998-8561-0" TargetMode="External"/><Relationship Id="rId19" Type="http://schemas.openxmlformats.org/officeDocument/2006/relationships/hyperlink" Target="http://services.igi-global.com/resolvedoi/resolve.aspx?doi=10.4018/978-1-7998-1435-1" TargetMode="External"/><Relationship Id="rId14" Type="http://schemas.openxmlformats.org/officeDocument/2006/relationships/hyperlink" Target="http://services.igi-global.com/resolvedoi/resolve.aspx?doi=10.4018/978-1-5225-9996-8" TargetMode="External"/><Relationship Id="rId30" Type="http://schemas.openxmlformats.org/officeDocument/2006/relationships/hyperlink" Target="http://services.igi-global.com/resolvedoi/resolve.aspx?doi=10.4018/978-1-7998-2831-0" TargetMode="External"/><Relationship Id="rId35" Type="http://schemas.openxmlformats.org/officeDocument/2006/relationships/hyperlink" Target="http://services.igi-global.com/resolvedoi/resolve.aspx?doi=10.4018/978-1-7998-4477-8" TargetMode="External"/><Relationship Id="rId56" Type="http://schemas.openxmlformats.org/officeDocument/2006/relationships/hyperlink" Target="http://services.igi-global.com/resolvedoi/resolve.aspx?doi=10.4018/978-1-7998-8709-6" TargetMode="External"/><Relationship Id="rId77" Type="http://schemas.openxmlformats.org/officeDocument/2006/relationships/hyperlink" Target="http://services.igi-global.com/resolvedoi/resolve.aspx?doi=10.4018/978-1-7998-8528-3" TargetMode="External"/><Relationship Id="rId100" Type="http://schemas.openxmlformats.org/officeDocument/2006/relationships/hyperlink" Target="http://services.igi-global.com/resolvedoi/resolve.aspx?doi=10.4018/978-1-7998-9161-1" TargetMode="External"/><Relationship Id="rId105" Type="http://schemas.openxmlformats.org/officeDocument/2006/relationships/hyperlink" Target="http://services.igi-global.com/resolvedoi/resolve.aspx?doi=10.4018/978-1-7998-8783-6" TargetMode="External"/><Relationship Id="rId126" Type="http://schemas.openxmlformats.org/officeDocument/2006/relationships/hyperlink" Target="http://services.igi-global.com/resolvedoi/resolve.aspx?doi=10.4018/978-1-7998-7564-2" TargetMode="External"/><Relationship Id="rId147" Type="http://schemas.openxmlformats.org/officeDocument/2006/relationships/hyperlink" Target="http://services.igi-global.com/resolvedoi/resolve.aspx?doi=10.4018/978-1-7998-8482-8" TargetMode="External"/><Relationship Id="rId8" Type="http://schemas.openxmlformats.org/officeDocument/2006/relationships/hyperlink" Target="http://services.igi-global.com/resolvedoi/resolve.aspx?doi=10.4018/978-1-5225-7915-1" TargetMode="External"/><Relationship Id="rId51" Type="http://schemas.openxmlformats.org/officeDocument/2006/relationships/hyperlink" Target="http://services.igi-global.com/resolvedoi/resolve.aspx?doi=10.4018/978-1-7998-7379-2" TargetMode="External"/><Relationship Id="rId72" Type="http://schemas.openxmlformats.org/officeDocument/2006/relationships/hyperlink" Target="http://services.igi-global.com/resolvedoi/resolve.aspx?doi=10.4018/978-1-7998-7503-1" TargetMode="External"/><Relationship Id="rId93" Type="http://schemas.openxmlformats.org/officeDocument/2006/relationships/hyperlink" Target="http://services.igi-global.com/resolvedoi/resolve.aspx?doi=10.4018/978-1-7998-0014-9" TargetMode="External"/><Relationship Id="rId98" Type="http://schemas.openxmlformats.org/officeDocument/2006/relationships/hyperlink" Target="http://services.igi-global.com/resolvedoi/resolve.aspx?doi=10.4018/978-1-7998-7062-3" TargetMode="External"/><Relationship Id="rId121" Type="http://schemas.openxmlformats.org/officeDocument/2006/relationships/hyperlink" Target="http://services.igi-global.com/resolvedoi/resolve.aspx?doi=10.4018/978-1-7998-1912-7" TargetMode="External"/><Relationship Id="rId142" Type="http://schemas.openxmlformats.org/officeDocument/2006/relationships/hyperlink" Target="http://services.igi-global.com/resolvedoi/resolve.aspx?doi=10.4018/978-1-6684-3662-2" TargetMode="External"/><Relationship Id="rId163" Type="http://schemas.openxmlformats.org/officeDocument/2006/relationships/hyperlink" Target="http://services.igi-global.com/resolvedoi/resolve.aspx?doi=10.4018/978-1-7998-6428-8" TargetMode="External"/><Relationship Id="rId3" Type="http://schemas.openxmlformats.org/officeDocument/2006/relationships/hyperlink" Target="http://services.igi-global.com/resolvedoi/resolve.aspx?doi=10.4018/978-1-6831-8003-6" TargetMode="External"/><Relationship Id="rId25" Type="http://schemas.openxmlformats.org/officeDocument/2006/relationships/hyperlink" Target="http://services.igi-global.com/resolvedoi/resolve.aspx?doi=10.4018/978-1-7998-4366-5" TargetMode="External"/><Relationship Id="rId46" Type="http://schemas.openxmlformats.org/officeDocument/2006/relationships/hyperlink" Target="http://services.igi-global.com/resolvedoi/resolve.aspx?doi=10.4018/978-1-7998-8003-5" TargetMode="External"/><Relationship Id="rId67" Type="http://schemas.openxmlformats.org/officeDocument/2006/relationships/hyperlink" Target="http://services.igi-global.com/resolvedoi/resolve.aspx?doi=10.4018/978-1-7998-8447-7" TargetMode="External"/><Relationship Id="rId116" Type="http://schemas.openxmlformats.org/officeDocument/2006/relationships/hyperlink" Target="http://services.igi-global.com/resolvedoi/resolve.aspx?doi=10.4018/978-1-5225-9767-4" TargetMode="External"/><Relationship Id="rId137" Type="http://schemas.openxmlformats.org/officeDocument/2006/relationships/hyperlink" Target="http://services.igi-global.com/resolvedoi/resolve.aspx?doi=10.4018/978-1-7998-8426-2" TargetMode="External"/><Relationship Id="rId158" Type="http://schemas.openxmlformats.org/officeDocument/2006/relationships/hyperlink" Target="http://services.igi-global.com/resolvedoi/resolve.aspx?doi=10.4018/978-1-7998-6858-3" TargetMode="External"/><Relationship Id="rId20" Type="http://schemas.openxmlformats.org/officeDocument/2006/relationships/hyperlink" Target="http://services.igi-global.com/resolvedoi/resolve.aspx?doi=10.4018/978-1-7998-1828-1" TargetMode="External"/><Relationship Id="rId41" Type="http://schemas.openxmlformats.org/officeDocument/2006/relationships/hyperlink" Target="http://services.igi-global.com/resolvedoi/resolve.aspx?doi=10.4018/978-1-7998-6500-1" TargetMode="External"/><Relationship Id="rId62" Type="http://schemas.openxmlformats.org/officeDocument/2006/relationships/hyperlink" Target="http://services.igi-global.com/resolvedoi/resolve.aspx?doi=10.4018/978-1-7998-8950-2" TargetMode="External"/><Relationship Id="rId83" Type="http://schemas.openxmlformats.org/officeDocument/2006/relationships/hyperlink" Target="http://services.igi-global.com/resolvedoi/resolve.aspx?doi=10.4018/978-1-5225-7796-6" TargetMode="External"/><Relationship Id="rId88" Type="http://schemas.openxmlformats.org/officeDocument/2006/relationships/hyperlink" Target="http://services.igi-global.com/resolvedoi/resolve.aspx?doi=10.4018/978-1-5225-7168-1" TargetMode="External"/><Relationship Id="rId111" Type="http://schemas.openxmlformats.org/officeDocument/2006/relationships/hyperlink" Target="http://services.igi-global.com/resolvedoi/resolve.aspx?doi=10.4018/978-1-7998-7935-0" TargetMode="External"/><Relationship Id="rId132" Type="http://schemas.openxmlformats.org/officeDocument/2006/relationships/hyperlink" Target="http://services.igi-global.com/resolvedoi/resolve.aspx?doi=10.4018/978-1-7998-6981-8" TargetMode="External"/><Relationship Id="rId153" Type="http://schemas.openxmlformats.org/officeDocument/2006/relationships/hyperlink" Target="http://services.igi-global.com/resolvedoi/resolve.aspx?doi=10.4018/978-1-7998-7323-5" TargetMode="External"/><Relationship Id="rId15" Type="http://schemas.openxmlformats.org/officeDocument/2006/relationships/hyperlink" Target="http://services.igi-global.com/resolvedoi/resolve.aspx?doi=10.4018/978-1-7998-0365-2" TargetMode="External"/><Relationship Id="rId36" Type="http://schemas.openxmlformats.org/officeDocument/2006/relationships/hyperlink" Target="http://services.igi-global.com/resolvedoi/resolve.aspx?doi=10.4018/978-1-7998-5567-5" TargetMode="External"/><Relationship Id="rId57" Type="http://schemas.openxmlformats.org/officeDocument/2006/relationships/hyperlink" Target="http://services.igi-global.com/resolvedoi/resolve.aspx?doi=10.4018/978-1-7998-7545-1" TargetMode="External"/><Relationship Id="rId106" Type="http://schemas.openxmlformats.org/officeDocument/2006/relationships/hyperlink" Target="http://services.igi-global.com/resolvedoi/resolve.aspx?doi=10.4018/978-1-7998-9144-4" TargetMode="External"/><Relationship Id="rId127" Type="http://schemas.openxmlformats.org/officeDocument/2006/relationships/hyperlink" Target="http://services.igi-global.com/resolvedoi/resolve.aspx?doi=10.4018/978-1-7998-7611-3" TargetMode="External"/><Relationship Id="rId10" Type="http://schemas.openxmlformats.org/officeDocument/2006/relationships/hyperlink" Target="http://services.igi-global.com/resolvedoi/resolve.aspx?doi=10.4018/978-1-5225-5557-5" TargetMode="External"/><Relationship Id="rId31" Type="http://schemas.openxmlformats.org/officeDocument/2006/relationships/hyperlink" Target="http://services.igi-global.com/resolvedoi/resolve.aspx?doi=10.4018/978-1-7998-7106-4" TargetMode="External"/><Relationship Id="rId52" Type="http://schemas.openxmlformats.org/officeDocument/2006/relationships/hyperlink" Target="http://services.igi-global.com/resolvedoi/resolve.aspx?doi=10.4018/978-1-7998-8065-3" TargetMode="External"/><Relationship Id="rId73" Type="http://schemas.openxmlformats.org/officeDocument/2006/relationships/hyperlink" Target="http://services.igi-global.com/resolvedoi/resolve.aspx?doi=10.4018/978-1-6684-3374-4" TargetMode="External"/><Relationship Id="rId78" Type="http://schemas.openxmlformats.org/officeDocument/2006/relationships/hyperlink" Target="http://services.igi-global.com/resolvedoi/resolve.aspx?doi=10.4018/978-1-5225-4969-7" TargetMode="External"/><Relationship Id="rId94" Type="http://schemas.openxmlformats.org/officeDocument/2006/relationships/hyperlink" Target="http://services.igi-global.com/resolvedoi/resolve.aspx?doi=10.4018/978-1-7998-1185-5" TargetMode="External"/><Relationship Id="rId99" Type="http://schemas.openxmlformats.org/officeDocument/2006/relationships/hyperlink" Target="http://services.igi-global.com/resolvedoi/resolve.aspx?doi=10.4018/978-1-7998-7188-0" TargetMode="External"/><Relationship Id="rId101" Type="http://schemas.openxmlformats.org/officeDocument/2006/relationships/hyperlink" Target="http://services.igi-global.com/resolvedoi/resolve.aspx?doi=10.4018/978-1-7998-8225-1" TargetMode="External"/><Relationship Id="rId122" Type="http://schemas.openxmlformats.org/officeDocument/2006/relationships/hyperlink" Target="http://services.igi-global.com/resolvedoi/resolve.aspx?doi=10.4018/978-1-7998-7705-9" TargetMode="External"/><Relationship Id="rId143" Type="http://schemas.openxmlformats.org/officeDocument/2006/relationships/hyperlink" Target="http://services.igi-global.com/resolvedoi/resolve.aspx?doi=10.4018/978-1-7998-8089-9" TargetMode="External"/><Relationship Id="rId148" Type="http://schemas.openxmlformats.org/officeDocument/2006/relationships/hyperlink" Target="http://services.igi-global.com/resolvedoi/resolve.aspx?doi=10.4018/978-1-6684-3702-5" TargetMode="External"/><Relationship Id="rId164" Type="http://schemas.openxmlformats.org/officeDocument/2006/relationships/hyperlink" Target="http://services.igi-global.com/resolvedoi/resolve.aspx?doi=10.4018/978-1-7998-4399-3" TargetMode="External"/><Relationship Id="rId4" Type="http://schemas.openxmlformats.org/officeDocument/2006/relationships/hyperlink" Target="http://services.igi-global.com/resolvedoi/resolve.aspx?doi=10.4018/978-1-5225-0643-0" TargetMode="External"/><Relationship Id="rId9" Type="http://schemas.openxmlformats.org/officeDocument/2006/relationships/hyperlink" Target="http://services.igi-global.com/resolvedoi/resolve.aspx?doi=10.4018/978-1-5225-8491-9" TargetMode="External"/><Relationship Id="rId26" Type="http://schemas.openxmlformats.org/officeDocument/2006/relationships/hyperlink" Target="http://services.igi-global.com/resolvedoi/resolve.aspx?doi=10.4018/978-1-7998-4757-1" TargetMode="External"/><Relationship Id="rId47" Type="http://schemas.openxmlformats.org/officeDocument/2006/relationships/hyperlink" Target="http://services.igi-global.com/resolvedoi/resolve.aspx?doi=10.4018/978-1-7998-8081-3" TargetMode="External"/><Relationship Id="rId68" Type="http://schemas.openxmlformats.org/officeDocument/2006/relationships/hyperlink" Target="http://services.igi-global.com/resolvedoi/resolve.aspx?doi=10.4018/978-1-7998-8294-7" TargetMode="External"/><Relationship Id="rId89" Type="http://schemas.openxmlformats.org/officeDocument/2006/relationships/hyperlink" Target="http://services.igi-global.com/resolvedoi/resolve.aspx?doi=10.4018/978-1-5225-6073-9" TargetMode="External"/><Relationship Id="rId112" Type="http://schemas.openxmlformats.org/officeDocument/2006/relationships/hyperlink" Target="http://services.igi-global.com/resolvedoi/resolve.aspx?doi=10.4018/978-1-5225-1756-6" TargetMode="External"/><Relationship Id="rId133" Type="http://schemas.openxmlformats.org/officeDocument/2006/relationships/hyperlink" Target="http://services.igi-global.com/resolvedoi/resolve.aspx?doi=10.4018/978-1-7998-7023-4" TargetMode="External"/><Relationship Id="rId154" Type="http://schemas.openxmlformats.org/officeDocument/2006/relationships/hyperlink" Target="http://services.igi-global.com/resolvedoi/resolve.aspx?doi=10.4018/978-1-7998-8367-8" TargetMode="External"/><Relationship Id="rId16" Type="http://schemas.openxmlformats.org/officeDocument/2006/relationships/hyperlink" Target="http://services.igi-global.com/resolvedoi/resolve.aspx?doi=10.4018/978-1-7998-0058-3" TargetMode="External"/><Relationship Id="rId37" Type="http://schemas.openxmlformats.org/officeDocument/2006/relationships/hyperlink" Target="http://services.igi-global.com/resolvedoi/resolve.aspx?doi=10.4018/978-1-7998-5882-9" TargetMode="External"/><Relationship Id="rId58" Type="http://schemas.openxmlformats.org/officeDocument/2006/relationships/hyperlink" Target="http://services.igi-global.com/resolvedoi/resolve.aspx?doi=10.4018/978-1-7998-7689-2" TargetMode="External"/><Relationship Id="rId79" Type="http://schemas.openxmlformats.org/officeDocument/2006/relationships/hyperlink" Target="http://services.igi-global.com/resolvedoi/resolve.aspx?doi=10.4018/978-1-5225-3808-0" TargetMode="External"/><Relationship Id="rId102" Type="http://schemas.openxmlformats.org/officeDocument/2006/relationships/hyperlink" Target="http://services.igi-global.com/resolvedoi/resolve.aspx?doi=10.4018/978-1-7998-8251-0" TargetMode="External"/><Relationship Id="rId123" Type="http://schemas.openxmlformats.org/officeDocument/2006/relationships/hyperlink" Target="http://services.igi-global.com/resolvedoi/resolve.aspx?doi=10.4018/978-1-7998-6694-7" TargetMode="External"/><Relationship Id="rId144" Type="http://schemas.openxmlformats.org/officeDocument/2006/relationships/hyperlink" Target="http://services.igi-global.com/resolvedoi/resolve.aspx?doi=10.4018/978-1-6684-3694-3" TargetMode="External"/><Relationship Id="rId90" Type="http://schemas.openxmlformats.org/officeDocument/2006/relationships/hyperlink" Target="http://services.igi-global.com/resolvedoi/resolve.aspx?doi=10.4018/978-1-5225-7489-7" TargetMode="External"/><Relationship Id="rId27" Type="http://schemas.openxmlformats.org/officeDocument/2006/relationships/hyperlink" Target="http://services.igi-global.com/resolvedoi/resolve.aspx?doi=10.4018/978-1-7998-3946-0" TargetMode="External"/><Relationship Id="rId48" Type="http://schemas.openxmlformats.org/officeDocument/2006/relationships/hyperlink" Target="http://services.igi-global.com/resolvedoi/resolve.aspx?doi=10.4018/978-1-7998-6988-7" TargetMode="External"/><Relationship Id="rId69" Type="http://schemas.openxmlformats.org/officeDocument/2006/relationships/hyperlink" Target="http://services.igi-global.com/resolvedoi/resolve.aspx?doi=10.4018/978-1-7998-8189-6" TargetMode="External"/><Relationship Id="rId113" Type="http://schemas.openxmlformats.org/officeDocument/2006/relationships/hyperlink" Target="http://services.igi-global.com/resolvedoi/resolve.aspx?doi=10.4018/978-1-5225-3990-2" TargetMode="External"/><Relationship Id="rId134" Type="http://schemas.openxmlformats.org/officeDocument/2006/relationships/hyperlink" Target="http://services.igi-global.com/resolvedoi/resolve.aspx?doi=10.4018/978-1-7998-6985-6" TargetMode="External"/><Relationship Id="rId80" Type="http://schemas.openxmlformats.org/officeDocument/2006/relationships/hyperlink" Target="http://services.igi-global.com/resolvedoi/resolve.aspx?doi=10.4018/978-1-5225-4955-0" TargetMode="External"/><Relationship Id="rId155" Type="http://schemas.openxmlformats.org/officeDocument/2006/relationships/hyperlink" Target="http://services.igi-global.com/resolvedoi/resolve.aspx?doi=10.4018/978-1-7998-8693-8" TargetMode="External"/></Relationships>
</file>

<file path=xl/worksheets/_rels/sheet13.xml.rels><?xml version="1.0" encoding="UTF-8" standalone="yes"?>
<Relationships xmlns="http://schemas.openxmlformats.org/package/2006/relationships"><Relationship Id="rId117" Type="http://schemas.openxmlformats.org/officeDocument/2006/relationships/hyperlink" Target="http://services.igi-global.com/resolvedoi/resolve.aspx?doi=10.4018/978-1-6684-3615-8" TargetMode="External"/><Relationship Id="rId21" Type="http://schemas.openxmlformats.org/officeDocument/2006/relationships/hyperlink" Target="http://services.igi-global.com/resolvedoi/resolve.aspx?doi=10.4018/978-1-7998-7291-7" TargetMode="External"/><Relationship Id="rId42" Type="http://schemas.openxmlformats.org/officeDocument/2006/relationships/hyperlink" Target="http://services.igi-global.com/resolvedoi/resolve.aspx?doi=10.4018/978-1-6684-4666-9" TargetMode="External"/><Relationship Id="rId63" Type="http://schemas.openxmlformats.org/officeDocument/2006/relationships/hyperlink" Target="http://services.igi-global.com/resolvedoi/resolve.aspx?doi=10.4018/978-1-6684-6745-9" TargetMode="External"/><Relationship Id="rId84" Type="http://schemas.openxmlformats.org/officeDocument/2006/relationships/hyperlink" Target="http://services.igi-global.com/resolvedoi/resolve.aspx?doi=10.4018/978-1-6684-7394-8" TargetMode="External"/><Relationship Id="rId138" Type="http://schemas.openxmlformats.org/officeDocument/2006/relationships/hyperlink" Target="http://services.igi-global.com/resolvedoi/resolve.aspx?doi=10.4018/978-1-6684-6894-4" TargetMode="External"/><Relationship Id="rId159" Type="http://schemas.openxmlformats.org/officeDocument/2006/relationships/hyperlink" Target="http://services.igi-global.com/resolvedoi/resolve.aspx?doi=10.4018/978-1-7998-9430-8" TargetMode="External"/><Relationship Id="rId170" Type="http://schemas.openxmlformats.org/officeDocument/2006/relationships/hyperlink" Target="http://services.igi-global.com/resolvedoi/resolve.aspx?doi=10.4018/978-1-6684-6903-3" TargetMode="External"/><Relationship Id="rId191" Type="http://schemas.openxmlformats.org/officeDocument/2006/relationships/hyperlink" Target="http://services.igi-global.com/resolvedoi/resolve.aspx?doi=10.4018/978-1-6684-6242-3" TargetMode="External"/><Relationship Id="rId107" Type="http://schemas.openxmlformats.org/officeDocument/2006/relationships/hyperlink" Target="http://services.igi-global.com/resolvedoi/resolve.aspx?doi=10.4018/978-1-6684-5284-4" TargetMode="External"/><Relationship Id="rId11" Type="http://schemas.openxmlformats.org/officeDocument/2006/relationships/hyperlink" Target="http://services.igi-global.com/resolvedoi/resolve.aspx?doi=10.4018/978-1-7998-3201-0" TargetMode="External"/><Relationship Id="rId32" Type="http://schemas.openxmlformats.org/officeDocument/2006/relationships/hyperlink" Target="http://services.igi-global.com/resolvedoi/resolve.aspx?doi=10.4018/978-1-7998-9438-4" TargetMode="External"/><Relationship Id="rId53" Type="http://schemas.openxmlformats.org/officeDocument/2006/relationships/hyperlink" Target="http://services.igi-global.com/resolvedoi/resolve.aspx?doi=10.4018/978-1-6684-6403-8" TargetMode="External"/><Relationship Id="rId74" Type="http://schemas.openxmlformats.org/officeDocument/2006/relationships/hyperlink" Target="http://services.igi-global.com/resolvedoi/resolve.aspx?doi=10.4018/978-1-6684-3564-9" TargetMode="External"/><Relationship Id="rId128" Type="http://schemas.openxmlformats.org/officeDocument/2006/relationships/hyperlink" Target="http://services.igi-global.com/resolvedoi/resolve.aspx?doi=10.4018/978-1-7998-5685-6" TargetMode="External"/><Relationship Id="rId149" Type="http://schemas.openxmlformats.org/officeDocument/2006/relationships/hyperlink" Target="http://services.igi-global.com/resolvedoi/resolve.aspx?doi=10.4018/978-1-7998-9498-8" TargetMode="External"/><Relationship Id="rId5" Type="http://schemas.openxmlformats.org/officeDocument/2006/relationships/hyperlink" Target="http://services.igi-global.com/resolvedoi/resolve.aspx?doi=10.4018/978-1-7998-2517-3" TargetMode="External"/><Relationship Id="rId95" Type="http://schemas.openxmlformats.org/officeDocument/2006/relationships/hyperlink" Target="http://services.igi-global.com/resolvedoi/resolve.aspx?doi=10.4018/978-1-6684-5058-1" TargetMode="External"/><Relationship Id="rId160" Type="http://schemas.openxmlformats.org/officeDocument/2006/relationships/hyperlink" Target="http://services.igi-global.com/resolvedoi/resolve.aspx?doi=10.4018/978-1-6684-6750-3" TargetMode="External"/><Relationship Id="rId181" Type="http://schemas.openxmlformats.org/officeDocument/2006/relationships/hyperlink" Target="http://services.igi-global.com/resolvedoi/resolve.aspx?doi=10.4018/978-1-6684-5269-1" TargetMode="External"/><Relationship Id="rId22" Type="http://schemas.openxmlformats.org/officeDocument/2006/relationships/hyperlink" Target="http://services.igi-global.com/resolvedoi/resolve.aspx?doi=10.4018/978-1-7998-7396-9" TargetMode="External"/><Relationship Id="rId43" Type="http://schemas.openxmlformats.org/officeDocument/2006/relationships/hyperlink" Target="http://services.igi-global.com/resolvedoi/resolve.aspx?doi=10.4018/978-1-6684-4461-0" TargetMode="External"/><Relationship Id="rId64" Type="http://schemas.openxmlformats.org/officeDocument/2006/relationships/hyperlink" Target="http://services.igi-global.com/resolvedoi/resolve.aspx?doi=10.4018/978-1-6684-6113-6" TargetMode="External"/><Relationship Id="rId118" Type="http://schemas.openxmlformats.org/officeDocument/2006/relationships/hyperlink" Target="http://services.igi-global.com/resolvedoi/resolve.aspx?doi=10.4018/978-1-6684-5882-2" TargetMode="External"/><Relationship Id="rId139" Type="http://schemas.openxmlformats.org/officeDocument/2006/relationships/hyperlink" Target="http://services.igi-global.com/resolvedoi/resolve.aspx?doi=10.4018/978-1-6684-5088-8" TargetMode="External"/><Relationship Id="rId85" Type="http://schemas.openxmlformats.org/officeDocument/2006/relationships/hyperlink" Target="http://services.igi-global.com/resolvedoi/resolve.aspx?doi=10.4018/978-1-6684-5181-6" TargetMode="External"/><Relationship Id="rId150" Type="http://schemas.openxmlformats.org/officeDocument/2006/relationships/hyperlink" Target="http://services.igi-global.com/resolvedoi/resolve.aspx?doi=10.4018/978-1-7998-9012-6" TargetMode="External"/><Relationship Id="rId171" Type="http://schemas.openxmlformats.org/officeDocument/2006/relationships/hyperlink" Target="http://services.igi-global.com/resolvedoi/resolve.aspx?doi=10.4018/978-1-6684-6914-9" TargetMode="External"/><Relationship Id="rId192" Type="http://schemas.openxmlformats.org/officeDocument/2006/relationships/hyperlink" Target="http://services.igi-global.com/resolvedoi/resolve.aspx?doi=10.4018/978-1-6684-6275-1" TargetMode="External"/><Relationship Id="rId12" Type="http://schemas.openxmlformats.org/officeDocument/2006/relationships/hyperlink" Target="http://services.igi-global.com/resolvedoi/resolve.aspx?doi=10.4018/978-1-7998-7103-3" TargetMode="External"/><Relationship Id="rId33" Type="http://schemas.openxmlformats.org/officeDocument/2006/relationships/hyperlink" Target="http://services.igi-global.com/resolvedoi/resolve.aspx?doi=10.4018/978-1-7998-9148-2" TargetMode="External"/><Relationship Id="rId108" Type="http://schemas.openxmlformats.org/officeDocument/2006/relationships/hyperlink" Target="http://services.igi-global.com/resolvedoi/resolve.aspx?doi=10.4018/978-1-6684-5342-1" TargetMode="External"/><Relationship Id="rId129" Type="http://schemas.openxmlformats.org/officeDocument/2006/relationships/hyperlink" Target="http://services.igi-global.com/resolvedoi/resolve.aspx?doi=10.4018/978-1-6684-5959-1" TargetMode="External"/><Relationship Id="rId54" Type="http://schemas.openxmlformats.org/officeDocument/2006/relationships/hyperlink" Target="http://services.igi-global.com/resolvedoi/resolve.aspx?doi=10.4018/978-1-6684-5853-2" TargetMode="External"/><Relationship Id="rId75" Type="http://schemas.openxmlformats.org/officeDocument/2006/relationships/hyperlink" Target="http://services.igi-global.com/resolvedoi/resolve.aspx?doi=10.4018/978-1-6684-6454-0" TargetMode="External"/><Relationship Id="rId96" Type="http://schemas.openxmlformats.org/officeDocument/2006/relationships/hyperlink" Target="http://services.igi-global.com/resolvedoi/resolve.aspx?doi=10.4018/978-1-6684-5523-4" TargetMode="External"/><Relationship Id="rId140" Type="http://schemas.openxmlformats.org/officeDocument/2006/relationships/hyperlink" Target="http://services.igi-global.com/resolvedoi/resolve.aspx?doi=10.4018/978-1-6684-4671-3" TargetMode="External"/><Relationship Id="rId161" Type="http://schemas.openxmlformats.org/officeDocument/2006/relationships/hyperlink" Target="http://services.igi-global.com/resolvedoi/resolve.aspx?doi=10.4018/978-1-7998-7852-0" TargetMode="External"/><Relationship Id="rId182" Type="http://schemas.openxmlformats.org/officeDocument/2006/relationships/hyperlink" Target="http://services.igi-global.com/resolvedoi/resolve.aspx?doi=10.4018/978-1-7998-9220-5" TargetMode="External"/><Relationship Id="rId6" Type="http://schemas.openxmlformats.org/officeDocument/2006/relationships/hyperlink" Target="http://services.igi-global.com/resolvedoi/resolve.aspx?doi=10.4018/978-1-7998-2543-2" TargetMode="External"/><Relationship Id="rId23" Type="http://schemas.openxmlformats.org/officeDocument/2006/relationships/hyperlink" Target="http://services.igi-global.com/resolvedoi/resolve.aspx?doi=10.4018/978-1-7998-8697-6" TargetMode="External"/><Relationship Id="rId119" Type="http://schemas.openxmlformats.org/officeDocument/2006/relationships/hyperlink" Target="http://services.igi-global.com/resolvedoi/resolve.aspx?doi=10.4018/978-1-6684-4735-2" TargetMode="External"/><Relationship Id="rId44" Type="http://schemas.openxmlformats.org/officeDocument/2006/relationships/hyperlink" Target="http://services.igi-global.com/resolvedoi/resolve.aspx?doi=10.4018/978-1-7998-8021-9" TargetMode="External"/><Relationship Id="rId65" Type="http://schemas.openxmlformats.org/officeDocument/2006/relationships/hyperlink" Target="http://services.igi-global.com/resolvedoi/resolve.aspx?doi=10.4018/978-1-6684-6179-2" TargetMode="External"/><Relationship Id="rId86" Type="http://schemas.openxmlformats.org/officeDocument/2006/relationships/hyperlink" Target="http://services.igi-global.com/resolvedoi/resolve.aspx?doi=10.4018/978-1-6684-7221-7" TargetMode="External"/><Relationship Id="rId130" Type="http://schemas.openxmlformats.org/officeDocument/2006/relationships/hyperlink" Target="http://services.igi-global.com/resolvedoi/resolve.aspx?doi=10.4018/978-1-6684-6247-8" TargetMode="External"/><Relationship Id="rId151" Type="http://schemas.openxmlformats.org/officeDocument/2006/relationships/hyperlink" Target="http://services.igi-global.com/resolvedoi/resolve.aspx?doi=10.4018/978-1-7998-9590-9" TargetMode="External"/><Relationship Id="rId172" Type="http://schemas.openxmlformats.org/officeDocument/2006/relationships/hyperlink" Target="http://services.igi-global.com/resolvedoi/resolve.aspx?doi=10.4018/978-1-6684-6937-8" TargetMode="External"/><Relationship Id="rId13" Type="http://schemas.openxmlformats.org/officeDocument/2006/relationships/hyperlink" Target="http://services.igi-global.com/resolvedoi/resolve.aspx?doi=10.4018/978-1-7998-5820-1" TargetMode="External"/><Relationship Id="rId18" Type="http://schemas.openxmlformats.org/officeDocument/2006/relationships/hyperlink" Target="http://services.igi-global.com/resolvedoi/resolve.aspx?doi=10.4018/978-1-7998-7649-6" TargetMode="External"/><Relationship Id="rId39" Type="http://schemas.openxmlformats.org/officeDocument/2006/relationships/hyperlink" Target="http://services.igi-global.com/resolvedoi/resolve.aspx?doi=10.4018/978-1-7998-9510-7" TargetMode="External"/><Relationship Id="rId109" Type="http://schemas.openxmlformats.org/officeDocument/2006/relationships/hyperlink" Target="http://services.igi-global.com/resolvedoi/resolve.aspx?doi=10.4018/978-1-6684-5216-5" TargetMode="External"/><Relationship Id="rId34" Type="http://schemas.openxmlformats.org/officeDocument/2006/relationships/hyperlink" Target="http://services.igi-global.com/resolvedoi/resolve.aspx?doi=10.4018/978-1-7998-6904-7" TargetMode="External"/><Relationship Id="rId50" Type="http://schemas.openxmlformats.org/officeDocument/2006/relationships/hyperlink" Target="http://services.igi-global.com/resolvedoi/resolve.aspx?doi=10.4018/978-1-6684-5660-6" TargetMode="External"/><Relationship Id="rId55" Type="http://schemas.openxmlformats.org/officeDocument/2006/relationships/hyperlink" Target="http://services.igi-global.com/resolvedoi/resolve.aspx?doi=10.4018/978-1-6684-5929-4" TargetMode="External"/><Relationship Id="rId76" Type="http://schemas.openxmlformats.org/officeDocument/2006/relationships/hyperlink" Target="http://services.igi-global.com/resolvedoi/resolve.aspx?doi=10.4018/978-1-6684-6500-4" TargetMode="External"/><Relationship Id="rId97" Type="http://schemas.openxmlformats.org/officeDocument/2006/relationships/hyperlink" Target="http://services.igi-global.com/resolvedoi/resolve.aspx?doi=10.4018/978-1-6684-2515-2" TargetMode="External"/><Relationship Id="rId104" Type="http://schemas.openxmlformats.org/officeDocument/2006/relationships/hyperlink" Target="http://services.igi-global.com/resolvedoi/resolve.aspx?doi=10.4018/978-1-6684-7593-5" TargetMode="External"/><Relationship Id="rId120" Type="http://schemas.openxmlformats.org/officeDocument/2006/relationships/hyperlink" Target="http://services.igi-global.com/resolvedoi/resolve.aspx?doi=10.4018/978-1-7998-6896-5" TargetMode="External"/><Relationship Id="rId125" Type="http://schemas.openxmlformats.org/officeDocument/2006/relationships/hyperlink" Target="http://services.igi-global.com/resolvedoi/resolve.aspx?doi=10.4018/978-1-6684-6071-9" TargetMode="External"/><Relationship Id="rId141" Type="http://schemas.openxmlformats.org/officeDocument/2006/relationships/hyperlink" Target="http://services.igi-global.com/resolvedoi/resolve.aspx?doi=10.4018/978-1-6684-5925-6" TargetMode="External"/><Relationship Id="rId146" Type="http://schemas.openxmlformats.org/officeDocument/2006/relationships/hyperlink" Target="http://services.igi-global.com/resolvedoi/resolve.aspx?doi=10.4018/978-1-7998-4945-2" TargetMode="External"/><Relationship Id="rId167" Type="http://schemas.openxmlformats.org/officeDocument/2006/relationships/hyperlink" Target="http://services.igi-global.com/resolvedoi/resolve.aspx?doi=10.4018/978-1-6684-4153-4" TargetMode="External"/><Relationship Id="rId188" Type="http://schemas.openxmlformats.org/officeDocument/2006/relationships/hyperlink" Target="http://services.igi-global.com/resolvedoi/resolve.aspx?doi=10.4018/978-1-6684-5887-7" TargetMode="External"/><Relationship Id="rId7" Type="http://schemas.openxmlformats.org/officeDocument/2006/relationships/hyperlink" Target="http://services.igi-global.com/resolvedoi/resolve.aspx?doi=10.4018/978-1-5225-9434-5" TargetMode="External"/><Relationship Id="rId71" Type="http://schemas.openxmlformats.org/officeDocument/2006/relationships/hyperlink" Target="http://services.igi-global.com/resolvedoi/resolve.aspx?doi=10.4018/978-1-6684-6118-1" TargetMode="External"/><Relationship Id="rId92" Type="http://schemas.openxmlformats.org/officeDocument/2006/relationships/hyperlink" Target="http://services.igi-global.com/resolvedoi/resolve.aspx?doi=10.4018/978-1-6684-5083-3" TargetMode="External"/><Relationship Id="rId162" Type="http://schemas.openxmlformats.org/officeDocument/2006/relationships/hyperlink" Target="http://services.igi-global.com/resolvedoi/resolve.aspx?doi=10.4018/978-1-6684-5991-1" TargetMode="External"/><Relationship Id="rId183" Type="http://schemas.openxmlformats.org/officeDocument/2006/relationships/hyperlink" Target="http://services.igi-global.com/resolvedoi/resolve.aspx?doi=10.4018/978-1-6684-4829-8" TargetMode="External"/><Relationship Id="rId2" Type="http://schemas.openxmlformats.org/officeDocument/2006/relationships/hyperlink" Target="http://services.igi-global.com/resolvedoi/resolve.aspx?doi=10.4018/978-1-5225-2984-2" TargetMode="External"/><Relationship Id="rId29" Type="http://schemas.openxmlformats.org/officeDocument/2006/relationships/hyperlink" Target="http://services.igi-global.com/resolvedoi/resolve.aspx?doi=10.4018/978-1-5225-2953-8" TargetMode="External"/><Relationship Id="rId24" Type="http://schemas.openxmlformats.org/officeDocument/2006/relationships/hyperlink" Target="http://services.igi-global.com/resolvedoi/resolve.aspx?doi=10.4018/978-1-7998-8730-0" TargetMode="External"/><Relationship Id="rId40" Type="http://schemas.openxmlformats.org/officeDocument/2006/relationships/hyperlink" Target="http://services.igi-global.com/resolvedoi/resolve.aspx?doi=10.4018/978-1-7998-9285-4" TargetMode="External"/><Relationship Id="rId45" Type="http://schemas.openxmlformats.org/officeDocument/2006/relationships/hyperlink" Target="http://services.igi-global.com/resolvedoi/resolve.aspx?doi=10.4018/978-1-6684-5337-7" TargetMode="External"/><Relationship Id="rId66" Type="http://schemas.openxmlformats.org/officeDocument/2006/relationships/hyperlink" Target="http://services.igi-global.com/resolvedoi/resolve.aspx?doi=10.4018/978-1-6684-6258-4" TargetMode="External"/><Relationship Id="rId87" Type="http://schemas.openxmlformats.org/officeDocument/2006/relationships/hyperlink" Target="http://services.igi-global.com/resolvedoi/resolve.aspx?doi=10.4018/978-1-6684-4246-3" TargetMode="External"/><Relationship Id="rId110" Type="http://schemas.openxmlformats.org/officeDocument/2006/relationships/hyperlink" Target="http://services.igi-global.com/resolvedoi/resolve.aspx?doi=10.4018/978-1-6684-5844-0" TargetMode="External"/><Relationship Id="rId115" Type="http://schemas.openxmlformats.org/officeDocument/2006/relationships/hyperlink" Target="http://services.igi-global.com/resolvedoi/resolve.aspx?doi=10.4018/978-1-6684-5907-2" TargetMode="External"/><Relationship Id="rId131" Type="http://schemas.openxmlformats.org/officeDocument/2006/relationships/hyperlink" Target="http://services.igi-global.com/resolvedoi/resolve.aspx?doi=10.4018/978-1-7998-4414-3" TargetMode="External"/><Relationship Id="rId136" Type="http://schemas.openxmlformats.org/officeDocument/2006/relationships/hyperlink" Target="http://services.igi-global.com/resolvedoi/resolve.aspx?doi=10.4018/978-1-6684-5129-8" TargetMode="External"/><Relationship Id="rId157" Type="http://schemas.openxmlformats.org/officeDocument/2006/relationships/hyperlink" Target="http://services.igi-global.com/resolvedoi/resolve.aspx?doi=10.4018/978-1-6684-2443-8" TargetMode="External"/><Relationship Id="rId178" Type="http://schemas.openxmlformats.org/officeDocument/2006/relationships/hyperlink" Target="http://services.igi-global.com/resolvedoi/resolve.aspx?doi=10.4018/978-1-6684-5264-6" TargetMode="External"/><Relationship Id="rId61" Type="http://schemas.openxmlformats.org/officeDocument/2006/relationships/hyperlink" Target="http://services.igi-global.com/resolvedoi/resolve.aspx?doi=10.4018/978-1-6684-6035-1" TargetMode="External"/><Relationship Id="rId82" Type="http://schemas.openxmlformats.org/officeDocument/2006/relationships/hyperlink" Target="http://services.igi-global.com/resolvedoi/resolve.aspx?doi=10.4018/978-1-6684-6607-0" TargetMode="External"/><Relationship Id="rId152" Type="http://schemas.openxmlformats.org/officeDocument/2006/relationships/hyperlink" Target="http://services.igi-global.com/resolvedoi/resolve.aspx?doi=10.4018/978-1-7998-9710-1" TargetMode="External"/><Relationship Id="rId173" Type="http://schemas.openxmlformats.org/officeDocument/2006/relationships/hyperlink" Target="http://services.igi-global.com/resolvedoi/resolve.aspx?doi=10.4018/978-1-6684-6123-5" TargetMode="External"/><Relationship Id="rId19" Type="http://schemas.openxmlformats.org/officeDocument/2006/relationships/hyperlink" Target="http://services.igi-global.com/resolvedoi/resolve.aspx?doi=10.4018/978-1-7998-7069-2" TargetMode="External"/><Relationship Id="rId14" Type="http://schemas.openxmlformats.org/officeDocument/2006/relationships/hyperlink" Target="http://services.igi-global.com/resolvedoi/resolve.aspx?doi=10.4018/978-1-7998-6825-5" TargetMode="External"/><Relationship Id="rId30" Type="http://schemas.openxmlformats.org/officeDocument/2006/relationships/hyperlink" Target="http://services.igi-global.com/resolvedoi/resolve.aspx?doi=10.4018/978-1-6684-5356-8" TargetMode="External"/><Relationship Id="rId35" Type="http://schemas.openxmlformats.org/officeDocument/2006/relationships/hyperlink" Target="http://services.igi-global.com/resolvedoi/resolve.aspx?doi=10.4018/978-1-7998-3844-9" TargetMode="External"/><Relationship Id="rId56" Type="http://schemas.openxmlformats.org/officeDocument/2006/relationships/hyperlink" Target="http://services.igi-global.com/resolvedoi/resolve.aspx?doi=10.4018/978-1-6684-6376-5" TargetMode="External"/><Relationship Id="rId77" Type="http://schemas.openxmlformats.org/officeDocument/2006/relationships/hyperlink" Target="http://services.igi-global.com/resolvedoi/resolve.aspx?doi=10.4018/978-1-6684-6815-9" TargetMode="External"/><Relationship Id="rId100" Type="http://schemas.openxmlformats.org/officeDocument/2006/relationships/hyperlink" Target="http://services.igi-global.com/resolvedoi/resolve.aspx?doi=10.4018/978-1-6684-3971-5" TargetMode="External"/><Relationship Id="rId105" Type="http://schemas.openxmlformats.org/officeDocument/2006/relationships/hyperlink" Target="http://services.igi-global.com/resolvedoi/resolve.aspx?doi=10.4018/978-1-6684-4834-2" TargetMode="External"/><Relationship Id="rId126" Type="http://schemas.openxmlformats.org/officeDocument/2006/relationships/hyperlink" Target="http://services.igi-global.com/resolvedoi/resolve.aspx?doi=10.4018/978-1-6684-6140-2" TargetMode="External"/><Relationship Id="rId147" Type="http://schemas.openxmlformats.org/officeDocument/2006/relationships/hyperlink" Target="http://services.igi-global.com/resolvedoi/resolve.aspx?doi=10.4018/978-1-7998-7447-8" TargetMode="External"/><Relationship Id="rId168" Type="http://schemas.openxmlformats.org/officeDocument/2006/relationships/hyperlink" Target="http://services.igi-global.com/resolvedoi/resolve.aspx?doi=10.4018/978-1-6684-6234-8" TargetMode="External"/><Relationship Id="rId8" Type="http://schemas.openxmlformats.org/officeDocument/2006/relationships/hyperlink" Target="http://services.igi-global.com/resolvedoi/resolve.aspx?doi=10.4018/978-1-7998-0426-0" TargetMode="External"/><Relationship Id="rId51" Type="http://schemas.openxmlformats.org/officeDocument/2006/relationships/hyperlink" Target="http://services.igi-global.com/resolvedoi/resolve.aspx?doi=10.4018/978-1-6684-6320-8" TargetMode="External"/><Relationship Id="rId72" Type="http://schemas.openxmlformats.org/officeDocument/2006/relationships/hyperlink" Target="http://services.igi-global.com/resolvedoi/resolve.aspx?doi=10.4018/978-1-6684-6692-6" TargetMode="External"/><Relationship Id="rId93" Type="http://schemas.openxmlformats.org/officeDocument/2006/relationships/hyperlink" Target="http://services.igi-global.com/resolvedoi/resolve.aspx?doi=10.4018/978-1-6684-5311-7" TargetMode="External"/><Relationship Id="rId98" Type="http://schemas.openxmlformats.org/officeDocument/2006/relationships/hyperlink" Target="http://services.igi-global.com/resolvedoi/resolve.aspx?doi=10.4018/978-1-6684-4645-4" TargetMode="External"/><Relationship Id="rId121" Type="http://schemas.openxmlformats.org/officeDocument/2006/relationships/hyperlink" Target="http://services.igi-global.com/resolvedoi/resolve.aspx?doi=10.4018/978-1-6684-4181-7" TargetMode="External"/><Relationship Id="rId142" Type="http://schemas.openxmlformats.org/officeDocument/2006/relationships/hyperlink" Target="http://services.igi-global.com/resolvedoi/resolve.aspx?doi=10.4018/978-1-6684-5652-1" TargetMode="External"/><Relationship Id="rId163" Type="http://schemas.openxmlformats.org/officeDocument/2006/relationships/hyperlink" Target="http://services.igi-global.com/resolvedoi/resolve.aspx?doi=10.4018/978-1-6684-6418-2" TargetMode="External"/><Relationship Id="rId184" Type="http://schemas.openxmlformats.org/officeDocument/2006/relationships/hyperlink" Target="http://services.igi-global.com/resolvedoi/resolve.aspx?doi=10.4018/978-1-6684-5827-3" TargetMode="External"/><Relationship Id="rId189" Type="http://schemas.openxmlformats.org/officeDocument/2006/relationships/hyperlink" Target="http://services.igi-global.com/resolvedoi/resolve.aspx?doi=10.4018/978-1-6684-4974-5" TargetMode="External"/><Relationship Id="rId3" Type="http://schemas.openxmlformats.org/officeDocument/2006/relationships/hyperlink" Target="http://services.igi-global.com/resolvedoi/resolve.aspx?doi=10.4018/978-1-5225-3873-8" TargetMode="External"/><Relationship Id="rId25" Type="http://schemas.openxmlformats.org/officeDocument/2006/relationships/hyperlink" Target="http://services.igi-global.com/resolvedoi/resolve.aspx?doi=10.4018/978-1-7998-6878-1" TargetMode="External"/><Relationship Id="rId46" Type="http://schemas.openxmlformats.org/officeDocument/2006/relationships/hyperlink" Target="http://services.igi-global.com/resolvedoi/resolve.aspx?doi=10.4018/978-1-6684-6020-7" TargetMode="External"/><Relationship Id="rId67" Type="http://schemas.openxmlformats.org/officeDocument/2006/relationships/hyperlink" Target="http://services.igi-global.com/resolvedoi/resolve.aspx?doi=10.4018/978-1-6684-6663-6" TargetMode="External"/><Relationship Id="rId116" Type="http://schemas.openxmlformats.org/officeDocument/2006/relationships/hyperlink" Target="http://services.igi-global.com/resolvedoi/resolve.aspx?doi=10.4018/978-1-7998-8966-3" TargetMode="External"/><Relationship Id="rId137" Type="http://schemas.openxmlformats.org/officeDocument/2006/relationships/hyperlink" Target="http://services.igi-global.com/resolvedoi/resolve.aspx?doi=10.4018/978-1-6684-6434-2" TargetMode="External"/><Relationship Id="rId158" Type="http://schemas.openxmlformats.org/officeDocument/2006/relationships/hyperlink" Target="http://services.igi-global.com/resolvedoi/resolve.aspx?doi=10.4018/978-1-6684-2462-9" TargetMode="External"/><Relationship Id="rId20" Type="http://schemas.openxmlformats.org/officeDocument/2006/relationships/hyperlink" Target="http://services.igi-global.com/resolvedoi/resolve.aspx?doi=10.4018/978-1-7998-5691-7" TargetMode="External"/><Relationship Id="rId41" Type="http://schemas.openxmlformats.org/officeDocument/2006/relationships/hyperlink" Target="http://services.igi-global.com/resolvedoi/resolve.aspx?doi=10.4018/978-1-6684-4194-7" TargetMode="External"/><Relationship Id="rId62" Type="http://schemas.openxmlformats.org/officeDocument/2006/relationships/hyperlink" Target="http://services.igi-global.com/resolvedoi/resolve.aspx?doi=10.4018/978-1-6684-6108-2" TargetMode="External"/><Relationship Id="rId83" Type="http://schemas.openxmlformats.org/officeDocument/2006/relationships/hyperlink" Target="http://services.igi-global.com/resolvedoi/resolve.aspx?doi=10.4018/978-1-6684-7000-8" TargetMode="External"/><Relationship Id="rId88" Type="http://schemas.openxmlformats.org/officeDocument/2006/relationships/hyperlink" Target="http://services.igi-global.com/resolvedoi/resolve.aspx?doi=10.4018/978-1-6684-5876-1" TargetMode="External"/><Relationship Id="rId111" Type="http://schemas.openxmlformats.org/officeDocument/2006/relationships/hyperlink" Target="http://services.igi-global.com/resolvedoi/resolve.aspx?doi=10.4018/978-1-6684-5864-8" TargetMode="External"/><Relationship Id="rId132" Type="http://schemas.openxmlformats.org/officeDocument/2006/relationships/hyperlink" Target="http://services.igi-global.com/resolvedoi/resolve.aspx?doi=10.4018/978-1-7998-7460-7" TargetMode="External"/><Relationship Id="rId153" Type="http://schemas.openxmlformats.org/officeDocument/2006/relationships/hyperlink" Target="http://services.igi-global.com/resolvedoi/resolve.aspx?doi=10.4018/978-1-6684-5113-7" TargetMode="External"/><Relationship Id="rId174" Type="http://schemas.openxmlformats.org/officeDocument/2006/relationships/hyperlink" Target="http://services.igi-global.com/resolvedoi/resolve.aspx?doi=10.4018/978-1-6684-6980-4" TargetMode="External"/><Relationship Id="rId179" Type="http://schemas.openxmlformats.org/officeDocument/2006/relationships/hyperlink" Target="http://services.igi-global.com/resolvedoi/resolve.aspx?doi=10.4018/978-1-6684-4991-2" TargetMode="External"/><Relationship Id="rId190" Type="http://schemas.openxmlformats.org/officeDocument/2006/relationships/hyperlink" Target="http://services.igi-global.com/resolvedoi/resolve.aspx?doi=10.4018/978-1-6684-5643-9" TargetMode="External"/><Relationship Id="rId15" Type="http://schemas.openxmlformats.org/officeDocument/2006/relationships/hyperlink" Target="http://services.igi-global.com/resolvedoi/resolve.aspx?doi=10.4018/978-1-7998-7939-8" TargetMode="External"/><Relationship Id="rId36" Type="http://schemas.openxmlformats.org/officeDocument/2006/relationships/hyperlink" Target="http://services.igi-global.com/resolvedoi/resolve.aspx?doi=10.4018/978-1-7998-9656-2" TargetMode="External"/><Relationship Id="rId57" Type="http://schemas.openxmlformats.org/officeDocument/2006/relationships/hyperlink" Target="http://services.igi-global.com/resolvedoi/resolve.aspx?doi=10.4018/978-1-6684-6581-3" TargetMode="External"/><Relationship Id="rId106" Type="http://schemas.openxmlformats.org/officeDocument/2006/relationships/hyperlink" Target="http://services.igi-global.com/resolvedoi/resolve.aspx?doi=10.4018/978-1-6684-5053-6" TargetMode="External"/><Relationship Id="rId127" Type="http://schemas.openxmlformats.org/officeDocument/2006/relationships/hyperlink" Target="http://services.igi-global.com/resolvedoi/resolve.aspx?doi=10.4018/978-1-6684-4895-3" TargetMode="External"/><Relationship Id="rId10" Type="http://schemas.openxmlformats.org/officeDocument/2006/relationships/hyperlink" Target="http://services.igi-global.com/resolvedoi/resolve.aspx?doi=10.4018/978-1-7998-3435-9" TargetMode="External"/><Relationship Id="rId31" Type="http://schemas.openxmlformats.org/officeDocument/2006/relationships/hyperlink" Target="http://services.igi-global.com/resolvedoi/resolve.aspx?doi=10.4018/978-1-7998-9494-0" TargetMode="External"/><Relationship Id="rId52" Type="http://schemas.openxmlformats.org/officeDocument/2006/relationships/hyperlink" Target="http://services.igi-global.com/resolvedoi/resolve.aspx?doi=10.4018/978-1-6684-6346-8" TargetMode="External"/><Relationship Id="rId73" Type="http://schemas.openxmlformats.org/officeDocument/2006/relationships/hyperlink" Target="http://services.igi-global.com/resolvedoi/resolve.aspx?doi=10.4018/978-1-6684-6859-3" TargetMode="External"/><Relationship Id="rId78" Type="http://schemas.openxmlformats.org/officeDocument/2006/relationships/hyperlink" Target="http://services.igi-global.com/resolvedoi/resolve.aspx?doi=10.4018/978-1-6684-6845-6" TargetMode="External"/><Relationship Id="rId94" Type="http://schemas.openxmlformats.org/officeDocument/2006/relationships/hyperlink" Target="http://services.igi-global.com/resolvedoi/resolve.aspx?doi=10.4018/978-1-6684-5568-5" TargetMode="External"/><Relationship Id="rId99" Type="http://schemas.openxmlformats.org/officeDocument/2006/relationships/hyperlink" Target="http://services.igi-global.com/resolvedoi/resolve.aspx?doi=10.4018/978-1-6684-4780-2" TargetMode="External"/><Relationship Id="rId101" Type="http://schemas.openxmlformats.org/officeDocument/2006/relationships/hyperlink" Target="http://services.igi-global.com/resolvedoi/resolve.aspx?doi=10.4018/978-1-6684-5039-0" TargetMode="External"/><Relationship Id="rId122" Type="http://schemas.openxmlformats.org/officeDocument/2006/relationships/hyperlink" Target="http://services.igi-global.com/resolvedoi/resolve.aspx?doi=10.4018/978-1-6684-5417-6" TargetMode="External"/><Relationship Id="rId143" Type="http://schemas.openxmlformats.org/officeDocument/2006/relationships/hyperlink" Target="http://services.igi-global.com/resolvedoi/resolve.aspx?doi=10.4018/978-1-6684-6496-0" TargetMode="External"/><Relationship Id="rId148" Type="http://schemas.openxmlformats.org/officeDocument/2006/relationships/hyperlink" Target="http://services.igi-global.com/resolvedoi/resolve.aspx?doi=10.4018/978-1-5225-3108-1" TargetMode="External"/><Relationship Id="rId164" Type="http://schemas.openxmlformats.org/officeDocument/2006/relationships/hyperlink" Target="http://services.igi-global.com/resolvedoi/resolve.aspx?doi=10.4018/978-1-6684-5996-6" TargetMode="External"/><Relationship Id="rId169" Type="http://schemas.openxmlformats.org/officeDocument/2006/relationships/hyperlink" Target="http://services.igi-global.com/resolvedoi/resolve.aspx?doi=10.4018/978-1-6684-6909-5" TargetMode="External"/><Relationship Id="rId185" Type="http://schemas.openxmlformats.org/officeDocument/2006/relationships/hyperlink" Target="http://services.igi-global.com/resolvedoi/resolve.aspx?doi=10.4018/978-1-7998-8343-2" TargetMode="External"/><Relationship Id="rId4" Type="http://schemas.openxmlformats.org/officeDocument/2006/relationships/hyperlink" Target="http://services.igi-global.com/resolvedoi/resolve.aspx?doi=10.4018/978-1-5225-3082-4" TargetMode="External"/><Relationship Id="rId9" Type="http://schemas.openxmlformats.org/officeDocument/2006/relationships/hyperlink" Target="http://services.igi-global.com/resolvedoi/resolve.aspx?doi=10.4018/978-1-7998-2011-6" TargetMode="External"/><Relationship Id="rId180" Type="http://schemas.openxmlformats.org/officeDocument/2006/relationships/hyperlink" Target="http://services.igi-global.com/resolvedoi/resolve.aspx?doi=10.4018/978-1-6684-5722-1" TargetMode="External"/><Relationship Id="rId26" Type="http://schemas.openxmlformats.org/officeDocument/2006/relationships/hyperlink" Target="http://services.igi-global.com/resolvedoi/resolve.aspx?doi=10.4018/978-1-7998-7943-5" TargetMode="External"/><Relationship Id="rId47" Type="http://schemas.openxmlformats.org/officeDocument/2006/relationships/hyperlink" Target="http://services.igi-global.com/resolvedoi/resolve.aspx?doi=10.4018/978-1-6684-6097-9" TargetMode="External"/><Relationship Id="rId68" Type="http://schemas.openxmlformats.org/officeDocument/2006/relationships/hyperlink" Target="http://services.igi-global.com/resolvedoi/resolve.aspx?doi=10.4018/978-1-6684-6682-7" TargetMode="External"/><Relationship Id="rId89" Type="http://schemas.openxmlformats.org/officeDocument/2006/relationships/hyperlink" Target="http://services.igi-global.com/resolvedoi/resolve.aspx?doi=10.4018/978-1-6684-5426-8" TargetMode="External"/><Relationship Id="rId112" Type="http://schemas.openxmlformats.org/officeDocument/2006/relationships/hyperlink" Target="http://services.igi-global.com/resolvedoi/resolve.aspx?doi=10.4018/978-1-6684-5964-5" TargetMode="External"/><Relationship Id="rId133" Type="http://schemas.openxmlformats.org/officeDocument/2006/relationships/hyperlink" Target="http://services.igi-global.com/resolvedoi/resolve.aspx?doi=10.4018/978-1-7998-8790-4" TargetMode="External"/><Relationship Id="rId154" Type="http://schemas.openxmlformats.org/officeDocument/2006/relationships/hyperlink" Target="http://services.igi-global.com/resolvedoi/resolve.aspx?doi=10.4018/978-1-6684-3855-8" TargetMode="External"/><Relationship Id="rId175" Type="http://schemas.openxmlformats.org/officeDocument/2006/relationships/hyperlink" Target="http://services.igi-global.com/resolvedoi/resolve.aspx?doi=10.4018/978-1-6684-7100-5" TargetMode="External"/><Relationship Id="rId16" Type="http://schemas.openxmlformats.org/officeDocument/2006/relationships/hyperlink" Target="http://services.igi-global.com/resolvedoi/resolve.aspx?doi=10.4018/978-1-7998-7363-1" TargetMode="External"/><Relationship Id="rId37" Type="http://schemas.openxmlformats.org/officeDocument/2006/relationships/hyperlink" Target="http://services.igi-global.com/resolvedoi/resolve.aspx?doi=10.4018/978-1-7998-7020-3" TargetMode="External"/><Relationship Id="rId58" Type="http://schemas.openxmlformats.org/officeDocument/2006/relationships/hyperlink" Target="http://services.igi-global.com/resolvedoi/resolve.aspx?doi=10.4018/978-1-6684-6356-7" TargetMode="External"/><Relationship Id="rId79" Type="http://schemas.openxmlformats.org/officeDocument/2006/relationships/hyperlink" Target="http://services.igi-global.com/resolvedoi/resolve.aspx?doi=10.4018/978-1-6684-6591-2" TargetMode="External"/><Relationship Id="rId102" Type="http://schemas.openxmlformats.org/officeDocument/2006/relationships/hyperlink" Target="http://services.igi-global.com/resolvedoi/resolve.aspx?doi=10.4018/978-1-6684-5097-0" TargetMode="External"/><Relationship Id="rId123" Type="http://schemas.openxmlformats.org/officeDocument/2006/relationships/hyperlink" Target="http://services.igi-global.com/resolvedoi/resolve.aspx?doi=10.4018/978-1-6684-5871-6" TargetMode="External"/><Relationship Id="rId144" Type="http://schemas.openxmlformats.org/officeDocument/2006/relationships/hyperlink" Target="http://services.igi-global.com/resolvedoi/resolve.aspx?doi=10.4018/978-1-5225-5234-5" TargetMode="External"/><Relationship Id="rId90" Type="http://schemas.openxmlformats.org/officeDocument/2006/relationships/hyperlink" Target="http://services.igi-global.com/resolvedoi/resolve.aspx?doi=10.4018/978-1-6684-7468-6" TargetMode="External"/><Relationship Id="rId165" Type="http://schemas.openxmlformats.org/officeDocument/2006/relationships/hyperlink" Target="http://services.igi-global.com/resolvedoi/resolve.aspx?doi=10.4018/978-1-6684-6631-5" TargetMode="External"/><Relationship Id="rId186" Type="http://schemas.openxmlformats.org/officeDocument/2006/relationships/hyperlink" Target="http://services.igi-global.com/resolvedoi/resolve.aspx?doi=10.4018/978-1-7998-8892-5" TargetMode="External"/><Relationship Id="rId27" Type="http://schemas.openxmlformats.org/officeDocument/2006/relationships/hyperlink" Target="http://services.igi-global.com/resolvedoi/resolve.aspx?doi=10.4018/978-1-7998-8421-7" TargetMode="External"/><Relationship Id="rId48" Type="http://schemas.openxmlformats.org/officeDocument/2006/relationships/hyperlink" Target="http://services.igi-global.com/resolvedoi/resolve.aspx?doi=10.4018/978-1-6684-6351-2" TargetMode="External"/><Relationship Id="rId69" Type="http://schemas.openxmlformats.org/officeDocument/2006/relationships/hyperlink" Target="http://services.igi-global.com/resolvedoi/resolve.aspx?doi=10.4018/978-1-6684-6713-8" TargetMode="External"/><Relationship Id="rId113" Type="http://schemas.openxmlformats.org/officeDocument/2006/relationships/hyperlink" Target="http://services.igi-global.com/resolvedoi/resolve.aspx?doi=10.4018/978-1-6684-5822-8" TargetMode="External"/><Relationship Id="rId134" Type="http://schemas.openxmlformats.org/officeDocument/2006/relationships/hyperlink" Target="http://services.igi-global.com/resolvedoi/resolve.aspx?doi=10.4018/978-1-7998-8689-1" TargetMode="External"/><Relationship Id="rId80" Type="http://schemas.openxmlformats.org/officeDocument/2006/relationships/hyperlink" Target="http://services.igi-global.com/resolvedoi/resolve.aspx?doi=10.4018/978-1-6684-7669-7" TargetMode="External"/><Relationship Id="rId155" Type="http://schemas.openxmlformats.org/officeDocument/2006/relationships/hyperlink" Target="http://services.igi-global.com/resolvedoi/resolve.aspx?doi=10.4018/978-1-6684-3921-0" TargetMode="External"/><Relationship Id="rId176" Type="http://schemas.openxmlformats.org/officeDocument/2006/relationships/hyperlink" Target="http://services.igi-global.com/resolvedoi/resolve.aspx?doi=10.4018/978-1-6684-7343-6" TargetMode="External"/><Relationship Id="rId17" Type="http://schemas.openxmlformats.org/officeDocument/2006/relationships/hyperlink" Target="http://services.igi-global.com/resolvedoi/resolve.aspx?doi=10.4018/978-1-7998-7231-3" TargetMode="External"/><Relationship Id="rId38" Type="http://schemas.openxmlformats.org/officeDocument/2006/relationships/hyperlink" Target="http://services.igi-global.com/resolvedoi/resolve.aspx?doi=10.4018/978-1-7998-9644-9" TargetMode="External"/><Relationship Id="rId59" Type="http://schemas.openxmlformats.org/officeDocument/2006/relationships/hyperlink" Target="http://services.igi-global.com/resolvedoi/resolve.aspx?doi=10.4018/978-1-6684-6543-1" TargetMode="External"/><Relationship Id="rId103" Type="http://schemas.openxmlformats.org/officeDocument/2006/relationships/hyperlink" Target="http://services.igi-global.com/resolvedoi/resolve.aspx?doi=10.4018/978-1-6684-5812-9" TargetMode="External"/><Relationship Id="rId124" Type="http://schemas.openxmlformats.org/officeDocument/2006/relationships/hyperlink" Target="http://services.igi-global.com/resolvedoi/resolve.aspx?doi=10.4018/978-1-6684-5897-6" TargetMode="External"/><Relationship Id="rId70" Type="http://schemas.openxmlformats.org/officeDocument/2006/relationships/hyperlink" Target="http://services.igi-global.com/resolvedoi/resolve.aspx?doi=10.4018/978-1-6684-6766-4" TargetMode="External"/><Relationship Id="rId91" Type="http://schemas.openxmlformats.org/officeDocument/2006/relationships/hyperlink" Target="http://services.igi-global.com/resolvedoi/resolve.aspx?doi=10.4018/978-1-6684-7472-3" TargetMode="External"/><Relationship Id="rId145" Type="http://schemas.openxmlformats.org/officeDocument/2006/relationships/hyperlink" Target="http://services.igi-global.com/resolvedoi/resolve.aspx?doi=10.4018/978-1-7998-4255-2" TargetMode="External"/><Relationship Id="rId166" Type="http://schemas.openxmlformats.org/officeDocument/2006/relationships/hyperlink" Target="http://services.igi-global.com/resolvedoi/resolve.aspx?doi=10.4018/978-1-6684-6821-0" TargetMode="External"/><Relationship Id="rId187" Type="http://schemas.openxmlformats.org/officeDocument/2006/relationships/hyperlink" Target="http://services.igi-global.com/resolvedoi/resolve.aspx?doi=10.4018/978-1-6684-5673-6" TargetMode="External"/><Relationship Id="rId1" Type="http://schemas.openxmlformats.org/officeDocument/2006/relationships/hyperlink" Target="http://services.igi-global.com/resolvedoi/resolve.aspx?doi=10.4018/978-1-5225-3943-8" TargetMode="External"/><Relationship Id="rId28" Type="http://schemas.openxmlformats.org/officeDocument/2006/relationships/hyperlink" Target="http://services.igi-global.com/resolvedoi/resolve.aspx?doi=10.4018/978-1-7998-8630-3" TargetMode="External"/><Relationship Id="rId49" Type="http://schemas.openxmlformats.org/officeDocument/2006/relationships/hyperlink" Target="http://services.igi-global.com/resolvedoi/resolve.aspx?doi=10.4018/978-1-6684-6381-9" TargetMode="External"/><Relationship Id="rId114" Type="http://schemas.openxmlformats.org/officeDocument/2006/relationships/hyperlink" Target="http://services.igi-global.com/resolvedoi/resolve.aspx?doi=10.4018/978-1-6684-8407-4" TargetMode="External"/><Relationship Id="rId60" Type="http://schemas.openxmlformats.org/officeDocument/2006/relationships/hyperlink" Target="http://services.igi-global.com/resolvedoi/resolve.aspx?doi=10.4018/978-1-6684-6620-9" TargetMode="External"/><Relationship Id="rId81" Type="http://schemas.openxmlformats.org/officeDocument/2006/relationships/hyperlink" Target="http://services.igi-global.com/resolvedoi/resolve.aspx?doi=10.4018/978-1-6684-6339-0" TargetMode="External"/><Relationship Id="rId135" Type="http://schemas.openxmlformats.org/officeDocument/2006/relationships/hyperlink" Target="http://services.igi-global.com/resolvedoi/resolve.aspx?doi=10.4018/978-1-6684-2304-2" TargetMode="External"/><Relationship Id="rId156" Type="http://schemas.openxmlformats.org/officeDocument/2006/relationships/hyperlink" Target="http://services.igi-global.com/resolvedoi/resolve.aspx?doi=10.4018/978-1-6684-3981-4" TargetMode="External"/><Relationship Id="rId177" Type="http://schemas.openxmlformats.org/officeDocument/2006/relationships/hyperlink" Target="http://services.igi-global.com/resolvedoi/resolve.aspx?doi=10.4018/978-1-6684-5255-4" TargetMode="External"/></Relationships>
</file>

<file path=xl/worksheets/_rels/sheet14.xml.rels><?xml version="1.0" encoding="UTF-8" standalone="yes"?>
<Relationships xmlns="http://schemas.openxmlformats.org/package/2006/relationships"><Relationship Id="rId117" Type="http://schemas.openxmlformats.org/officeDocument/2006/relationships/hyperlink" Target="http://services.igi-global.com/resolvedoi/resolve.aspx?doi=10.4018/978-1-6684-3833-6" TargetMode="External"/><Relationship Id="rId21" Type="http://schemas.openxmlformats.org/officeDocument/2006/relationships/hyperlink" Target="http://services.igi-global.com/resolvedoi/resolve.aspx?doi=10.4018/978-1-6684-7864-6" TargetMode="External"/><Relationship Id="rId42" Type="http://schemas.openxmlformats.org/officeDocument/2006/relationships/hyperlink" Target="http://services.igi-global.com/resolvedoi/resolve.aspx?doi=10.4018/979-8-3693-0066-4" TargetMode="External"/><Relationship Id="rId63" Type="http://schemas.openxmlformats.org/officeDocument/2006/relationships/hyperlink" Target="http://services.igi-global.com/resolvedoi/resolve.aspx?doi=10.4018/979-8-3693-1536-1" TargetMode="External"/><Relationship Id="rId84" Type="http://schemas.openxmlformats.org/officeDocument/2006/relationships/hyperlink" Target="http://services.igi-global.com/resolvedoi/resolve.aspx?doi=10.4018/979-8-3693-1918-5" TargetMode="External"/><Relationship Id="rId138" Type="http://schemas.openxmlformats.org/officeDocument/2006/relationships/hyperlink" Target="http://services.igi-global.com/resolvedoi/resolve.aspx?doi=10.4018/978-1-6684-9130-0" TargetMode="External"/><Relationship Id="rId159" Type="http://schemas.openxmlformats.org/officeDocument/2006/relationships/hyperlink" Target="http://services.igi-global.com/resolvedoi/resolve.aspx?doi=10.4018/979-8-3693-2181-2" TargetMode="External"/><Relationship Id="rId107" Type="http://schemas.openxmlformats.org/officeDocument/2006/relationships/hyperlink" Target="http://services.igi-global.com/resolvedoi/resolve.aspx?doi=10.4018/979-8-3693-2105-8" TargetMode="External"/><Relationship Id="rId11" Type="http://schemas.openxmlformats.org/officeDocument/2006/relationships/hyperlink" Target="http://services.igi-global.com/resolvedoi/resolve.aspx?doi=10.4018/978-1-7998-4829-5" TargetMode="External"/><Relationship Id="rId32" Type="http://schemas.openxmlformats.org/officeDocument/2006/relationships/hyperlink" Target="http://services.igi-global.com/resolvedoi/resolve.aspx?doi=10.4018/979-8-3693-0815-8" TargetMode="External"/><Relationship Id="rId53" Type="http://schemas.openxmlformats.org/officeDocument/2006/relationships/hyperlink" Target="http://services.igi-global.com/resolvedoi/resolve.aspx?doi=10.4018/979-8-3693-1322-0" TargetMode="External"/><Relationship Id="rId74" Type="http://schemas.openxmlformats.org/officeDocument/2006/relationships/hyperlink" Target="http://services.igi-global.com/resolvedoi/resolve.aspx?doi=10.4018/979-8-3693-1746-4" TargetMode="External"/><Relationship Id="rId128" Type="http://schemas.openxmlformats.org/officeDocument/2006/relationships/hyperlink" Target="http://services.igi-global.com/resolvedoi/resolve.aspx?doi=10.4018/979-8-3693-0368-9" TargetMode="External"/><Relationship Id="rId149" Type="http://schemas.openxmlformats.org/officeDocument/2006/relationships/hyperlink" Target="http://services.igi-global.com/resolvedoi/resolve.aspx?doi=10.4018/979-8-3693-0892-9" TargetMode="External"/><Relationship Id="rId5" Type="http://schemas.openxmlformats.org/officeDocument/2006/relationships/hyperlink" Target="http://services.igi-global.com/resolvedoi/resolve.aspx?doi=10.4018/978-1-5225-5927-6" TargetMode="External"/><Relationship Id="rId95" Type="http://schemas.openxmlformats.org/officeDocument/2006/relationships/hyperlink" Target="http://services.igi-global.com/resolvedoi/resolve.aspx?doi=10.4018/978-1-6684-9983-2" TargetMode="External"/><Relationship Id="rId160" Type="http://schemas.openxmlformats.org/officeDocument/2006/relationships/hyperlink" Target="http://services.igi-global.com/resolvedoi/resolve.aspx?doi=10.4018/979-8-3693-2280-2" TargetMode="External"/><Relationship Id="rId22" Type="http://schemas.openxmlformats.org/officeDocument/2006/relationships/hyperlink" Target="http://services.igi-global.com/resolvedoi/resolve.aspx?doi=10.4018/978-1-6684-8296-4" TargetMode="External"/><Relationship Id="rId43" Type="http://schemas.openxmlformats.org/officeDocument/2006/relationships/hyperlink" Target="http://services.igi-global.com/resolvedoi/resolve.aspx?doi=10.4018/978-1-6684-9472-1" TargetMode="External"/><Relationship Id="rId64" Type="http://schemas.openxmlformats.org/officeDocument/2006/relationships/hyperlink" Target="http://services.igi-global.com/resolvedoi/resolve.aspx?doi=10.4018/979-8-3693-0240-8" TargetMode="External"/><Relationship Id="rId118" Type="http://schemas.openxmlformats.org/officeDocument/2006/relationships/hyperlink" Target="http://services.igi-global.com/resolvedoi/resolve.aspx?doi=10.4018/978-1-6684-6366-6" TargetMode="External"/><Relationship Id="rId139" Type="http://schemas.openxmlformats.org/officeDocument/2006/relationships/hyperlink" Target="http://services.igi-global.com/resolvedoi/resolve.aspx?doi=10.4018/979-8-3693-0497-6" TargetMode="External"/><Relationship Id="rId85" Type="http://schemas.openxmlformats.org/officeDocument/2006/relationships/hyperlink" Target="http://services.igi-global.com/resolvedoi/resolve.aspx?doi=10.4018/978-1-7998-3531-8" TargetMode="External"/><Relationship Id="rId150" Type="http://schemas.openxmlformats.org/officeDocument/2006/relationships/hyperlink" Target="http://services.igi-global.com/resolvedoi/resolve.aspx?doi=10.4018/979-8-3693-1431-9" TargetMode="External"/><Relationship Id="rId12" Type="http://schemas.openxmlformats.org/officeDocument/2006/relationships/hyperlink" Target="http://services.igi-global.com/resolvedoi/resolve.aspx?doi=10.4018/978-1-7998-4763-2" TargetMode="External"/><Relationship Id="rId17" Type="http://schemas.openxmlformats.org/officeDocument/2006/relationships/hyperlink" Target="http://services.igi-global.com/resolvedoi/resolve.aspx?doi=10.4018/978-1-7998-8641-9" TargetMode="External"/><Relationship Id="rId33" Type="http://schemas.openxmlformats.org/officeDocument/2006/relationships/hyperlink" Target="http://services.igi-global.com/resolvedoi/resolve.aspx?doi=10.4018/979-8-3693-0527-0" TargetMode="External"/><Relationship Id="rId38" Type="http://schemas.openxmlformats.org/officeDocument/2006/relationships/hyperlink" Target="http://services.igi-global.com/resolvedoi/resolve.aspx?doi=10.4018/979-8-3693-0074-9" TargetMode="External"/><Relationship Id="rId59" Type="http://schemas.openxmlformats.org/officeDocument/2006/relationships/hyperlink" Target="http://services.igi-global.com/resolvedoi/resolve.aspx?doi=10.4018/979-8-3693-0956-8" TargetMode="External"/><Relationship Id="rId103" Type="http://schemas.openxmlformats.org/officeDocument/2006/relationships/hyperlink" Target="http://services.igi-global.com/resolvedoi/resolve.aspx?doi=10.4018/979-8-3693-1822-5" TargetMode="External"/><Relationship Id="rId108" Type="http://schemas.openxmlformats.org/officeDocument/2006/relationships/hyperlink" Target="http://services.igi-global.com/resolvedoi/resolve.aspx?doi=10.4018/979-8-3693-2359-5" TargetMode="External"/><Relationship Id="rId124" Type="http://schemas.openxmlformats.org/officeDocument/2006/relationships/hyperlink" Target="http://services.igi-global.com/resolvedoi/resolve.aspx?doi=10.4018/979-8-3693-1638-2" TargetMode="External"/><Relationship Id="rId129" Type="http://schemas.openxmlformats.org/officeDocument/2006/relationships/hyperlink" Target="http://services.igi-global.com/resolvedoi/resolve.aspx?doi=10.4018/979-8-3693-0448-8" TargetMode="External"/><Relationship Id="rId54" Type="http://schemas.openxmlformats.org/officeDocument/2006/relationships/hyperlink" Target="http://services.igi-global.com/resolvedoi/resolve.aspx?doi=10.4018/979-8-3693-1273-5" TargetMode="External"/><Relationship Id="rId70" Type="http://schemas.openxmlformats.org/officeDocument/2006/relationships/hyperlink" Target="http://services.igi-global.com/resolvedoi/resolve.aspx?doi=10.4018/979-8-3693-1351-0" TargetMode="External"/><Relationship Id="rId75" Type="http://schemas.openxmlformats.org/officeDocument/2006/relationships/hyperlink" Target="http://services.igi-global.com/resolvedoi/resolve.aspx?doi=10.4018/979-8-3693-1103-5" TargetMode="External"/><Relationship Id="rId91" Type="http://schemas.openxmlformats.org/officeDocument/2006/relationships/hyperlink" Target="http://services.igi-global.com/resolvedoi/resolve.aspx?doi=10.4018/978-1-6684-5156-4" TargetMode="External"/><Relationship Id="rId96" Type="http://schemas.openxmlformats.org/officeDocument/2006/relationships/hyperlink" Target="http://services.igi-global.com/resolvedoi/resolve.aspx?doi=10.4018/978-1-6684-9251-2" TargetMode="External"/><Relationship Id="rId140" Type="http://schemas.openxmlformats.org/officeDocument/2006/relationships/hyperlink" Target="http://services.igi-global.com/resolvedoi/resolve.aspx?doi=10.4018/979-8-3693-0502-7" TargetMode="External"/><Relationship Id="rId145" Type="http://schemas.openxmlformats.org/officeDocument/2006/relationships/hyperlink" Target="http://services.igi-global.com/resolvedoi/resolve.aspx?doi=10.4018/979-8-3693-1435-7" TargetMode="External"/><Relationship Id="rId161" Type="http://schemas.openxmlformats.org/officeDocument/2006/relationships/hyperlink" Target="http://services.igi-global.com/resolvedoi/resolve.aspx?doi=10.4018/979-8-3693-1850-8" TargetMode="External"/><Relationship Id="rId1" Type="http://schemas.openxmlformats.org/officeDocument/2006/relationships/hyperlink" Target="http://services.igi-global.com/resolvedoi/resolve.aspx?doi=10.4018/978-1-5225-6918-3" TargetMode="External"/><Relationship Id="rId6" Type="http://schemas.openxmlformats.org/officeDocument/2006/relationships/hyperlink" Target="http://services.igi-global.com/resolvedoi/resolve.aspx?doi=10.4018/978-1-5225-6023-4" TargetMode="External"/><Relationship Id="rId23" Type="http://schemas.openxmlformats.org/officeDocument/2006/relationships/hyperlink" Target="http://services.igi-global.com/resolvedoi/resolve.aspx?doi=10.4018/978-1-6684-8805-8" TargetMode="External"/><Relationship Id="rId28" Type="http://schemas.openxmlformats.org/officeDocument/2006/relationships/hyperlink" Target="http://services.igi-global.com/resolvedoi/resolve.aspx?doi=10.4018/978-1-6684-7270-5" TargetMode="External"/><Relationship Id="rId49" Type="http://schemas.openxmlformats.org/officeDocument/2006/relationships/hyperlink" Target="http://services.igi-global.com/resolvedoi/resolve.aspx?doi=10.4018/979-8-3693-0823-3" TargetMode="External"/><Relationship Id="rId114" Type="http://schemas.openxmlformats.org/officeDocument/2006/relationships/hyperlink" Target="http://services.igi-global.com/resolvedoi/resolve.aspx?doi=10.4018/978-1-6684-4096-4" TargetMode="External"/><Relationship Id="rId119" Type="http://schemas.openxmlformats.org/officeDocument/2006/relationships/hyperlink" Target="http://services.igi-global.com/resolvedoi/resolve.aspx?doi=10.4018/978-1-6684-8098-4" TargetMode="External"/><Relationship Id="rId44" Type="http://schemas.openxmlformats.org/officeDocument/2006/relationships/hyperlink" Target="http://services.igi-global.com/resolvedoi/resolve.aspx?doi=10.4018/979-8-3693-0363-4" TargetMode="External"/><Relationship Id="rId60" Type="http://schemas.openxmlformats.org/officeDocument/2006/relationships/hyperlink" Target="http://services.igi-global.com/resolvedoi/resolve.aspx?doi=10.4018/979-8-3693-1269-8" TargetMode="External"/><Relationship Id="rId65" Type="http://schemas.openxmlformats.org/officeDocument/2006/relationships/hyperlink" Target="http://services.igi-global.com/resolvedoi/resolve.aspx?doi=10.4018/979-8-3693-1297-1" TargetMode="External"/><Relationship Id="rId81" Type="http://schemas.openxmlformats.org/officeDocument/2006/relationships/hyperlink" Target="http://services.igi-global.com/resolvedoi/resolve.aspx?doi=10.4018/979-8-3693-2248-2" TargetMode="External"/><Relationship Id="rId86" Type="http://schemas.openxmlformats.org/officeDocument/2006/relationships/hyperlink" Target="http://services.igi-global.com/resolvedoi/resolve.aspx?doi=10.4018/978-1-7998-3092-4" TargetMode="External"/><Relationship Id="rId130" Type="http://schemas.openxmlformats.org/officeDocument/2006/relationships/hyperlink" Target="http://services.igi-global.com/resolvedoi/resolve.aspx?doi=10.4018/978-1-6684-6361-1" TargetMode="External"/><Relationship Id="rId135" Type="http://schemas.openxmlformats.org/officeDocument/2006/relationships/hyperlink" Target="http://services.igi-global.com/resolvedoi/resolve.aspx?doi=10.4018/979-8-3693-1194-3" TargetMode="External"/><Relationship Id="rId151" Type="http://schemas.openxmlformats.org/officeDocument/2006/relationships/hyperlink" Target="http://services.igi-global.com/resolvedoi/resolve.aspx?doi=10.4018/979-8-3693-1306-0" TargetMode="External"/><Relationship Id="rId156" Type="http://schemas.openxmlformats.org/officeDocument/2006/relationships/hyperlink" Target="http://services.igi-global.com/resolvedoi/resolve.aspx?doi=10.4018/979-8-3693-0968-1" TargetMode="External"/><Relationship Id="rId13" Type="http://schemas.openxmlformats.org/officeDocument/2006/relationships/hyperlink" Target="http://services.igi-global.com/resolvedoi/resolve.aspx?doi=10.4018/978-1-7998-7630-4" TargetMode="External"/><Relationship Id="rId18" Type="http://schemas.openxmlformats.org/officeDocument/2006/relationships/hyperlink" Target="http://services.igi-global.com/resolvedoi/resolve.aspx?doi=10.4018/978-1-6684-7494-5" TargetMode="External"/><Relationship Id="rId39" Type="http://schemas.openxmlformats.org/officeDocument/2006/relationships/hyperlink" Target="http://services.igi-global.com/resolvedoi/resolve.aspx?doi=10.4018/979-8-3693-0039-8" TargetMode="External"/><Relationship Id="rId109" Type="http://schemas.openxmlformats.org/officeDocument/2006/relationships/hyperlink" Target="http://services.igi-global.com/resolvedoi/resolve.aspx?doi=10.4018/979-8-3693-2141-6" TargetMode="External"/><Relationship Id="rId34" Type="http://schemas.openxmlformats.org/officeDocument/2006/relationships/hyperlink" Target="http://services.igi-global.com/resolvedoi/resolve.aspx?doi=10.4018/979-8-3693-2647-3" TargetMode="External"/><Relationship Id="rId50" Type="http://schemas.openxmlformats.org/officeDocument/2006/relationships/hyperlink" Target="http://services.igi-global.com/resolvedoi/resolve.aspx?doi=10.4018/979-8-3693-1058-8" TargetMode="External"/><Relationship Id="rId55" Type="http://schemas.openxmlformats.org/officeDocument/2006/relationships/hyperlink" Target="http://services.igi-global.com/resolvedoi/resolve.aspx?doi=10.4018/979-8-3693-1182-0" TargetMode="External"/><Relationship Id="rId76" Type="http://schemas.openxmlformats.org/officeDocument/2006/relationships/hyperlink" Target="http://services.igi-global.com/resolvedoi/resolve.aspx?doi=10.4018/979-8-3693-0868-4" TargetMode="External"/><Relationship Id="rId97" Type="http://schemas.openxmlformats.org/officeDocument/2006/relationships/hyperlink" Target="http://services.igi-global.com/resolvedoi/resolve.aspx?doi=10.4018/979-8-3693-1082-3" TargetMode="External"/><Relationship Id="rId104" Type="http://schemas.openxmlformats.org/officeDocument/2006/relationships/hyperlink" Target="http://services.igi-global.com/resolvedoi/resolve.aspx?doi=10.4018/979-8-3693-1646-7" TargetMode="External"/><Relationship Id="rId120" Type="http://schemas.openxmlformats.org/officeDocument/2006/relationships/hyperlink" Target="http://services.igi-global.com/resolvedoi/resolve.aspx?doi=10.4018/978-1-6684-8634-4" TargetMode="External"/><Relationship Id="rId125" Type="http://schemas.openxmlformats.org/officeDocument/2006/relationships/hyperlink" Target="http://services.igi-global.com/resolvedoi/resolve.aspx?doi=10.4018/978-1-6684-8696-2" TargetMode="External"/><Relationship Id="rId141" Type="http://schemas.openxmlformats.org/officeDocument/2006/relationships/hyperlink" Target="http://services.igi-global.com/resolvedoi/resolve.aspx?doi=10.4018/978-1-6684-8228-5" TargetMode="External"/><Relationship Id="rId146" Type="http://schemas.openxmlformats.org/officeDocument/2006/relationships/hyperlink" Target="http://services.igi-global.com/resolvedoi/resolve.aspx?doi=10.4018/979-8-3693-0774-8" TargetMode="External"/><Relationship Id="rId7" Type="http://schemas.openxmlformats.org/officeDocument/2006/relationships/hyperlink" Target="http://services.igi-global.com/resolvedoi/resolve.aspx?doi=10.4018/978-1-5225-7095-0" TargetMode="External"/><Relationship Id="rId71" Type="http://schemas.openxmlformats.org/officeDocument/2006/relationships/hyperlink" Target="http://services.igi-global.com/resolvedoi/resolve.aspx?doi=10.4018/979-8-3693-1910-9" TargetMode="External"/><Relationship Id="rId92" Type="http://schemas.openxmlformats.org/officeDocument/2006/relationships/hyperlink" Target="http://services.igi-global.com/resolvedoi/resolve.aspx?doi=10.4018/979-8-3693-0703-8" TargetMode="External"/><Relationship Id="rId162" Type="http://schemas.openxmlformats.org/officeDocument/2006/relationships/hyperlink" Target="http://services.igi-global.com/resolvedoi/resolve.aspx?doi=10.4018/978-1-5225-5867-5" TargetMode="External"/><Relationship Id="rId2" Type="http://schemas.openxmlformats.org/officeDocument/2006/relationships/hyperlink" Target="http://services.igi-global.com/resolvedoi/resolve.aspx?doi=10.4018/978-1-5225-5519-3" TargetMode="External"/><Relationship Id="rId29" Type="http://schemas.openxmlformats.org/officeDocument/2006/relationships/hyperlink" Target="http://services.igi-global.com/resolvedoi/resolve.aspx?doi=10.4018/979-8-3693-1388-6" TargetMode="External"/><Relationship Id="rId24" Type="http://schemas.openxmlformats.org/officeDocument/2006/relationships/hyperlink" Target="http://services.igi-global.com/resolvedoi/resolve.aspx?doi=10.4018/978-1-6684-7702-1" TargetMode="External"/><Relationship Id="rId40" Type="http://schemas.openxmlformats.org/officeDocument/2006/relationships/hyperlink" Target="http://services.igi-global.com/resolvedoi/resolve.aspx?doi=10.4018/979-8-3693-0111-1" TargetMode="External"/><Relationship Id="rId45" Type="http://schemas.openxmlformats.org/officeDocument/2006/relationships/hyperlink" Target="http://services.igi-global.com/resolvedoi/resolve.aspx?doi=10.4018/979-8-3693-0551-5" TargetMode="External"/><Relationship Id="rId66" Type="http://schemas.openxmlformats.org/officeDocument/2006/relationships/hyperlink" Target="http://services.igi-global.com/resolvedoi/resolve.aspx?doi=10.4018/979-8-3693-1206-3" TargetMode="External"/><Relationship Id="rId87" Type="http://schemas.openxmlformats.org/officeDocument/2006/relationships/hyperlink" Target="http://services.igi-global.com/resolvedoi/resolve.aspx?doi=10.4018/978-1-7998-4411-2" TargetMode="External"/><Relationship Id="rId110" Type="http://schemas.openxmlformats.org/officeDocument/2006/relationships/hyperlink" Target="http://services.igi-global.com/resolvedoi/resolve.aspx?doi=10.4018/978-1-5225-5987-0" TargetMode="External"/><Relationship Id="rId115" Type="http://schemas.openxmlformats.org/officeDocument/2006/relationships/hyperlink" Target="http://services.igi-global.com/resolvedoi/resolve.aspx?doi=10.4018/978-1-6684-4483-2" TargetMode="External"/><Relationship Id="rId131" Type="http://schemas.openxmlformats.org/officeDocument/2006/relationships/hyperlink" Target="http://services.igi-global.com/resolvedoi/resolve.aspx?doi=10.4018/978-1-6684-9385-4" TargetMode="External"/><Relationship Id="rId136" Type="http://schemas.openxmlformats.org/officeDocument/2006/relationships/hyperlink" Target="http://services.igi-global.com/resolvedoi/resolve.aspx?doi=10.4018/978-1-6684-9999-3" TargetMode="External"/><Relationship Id="rId157" Type="http://schemas.openxmlformats.org/officeDocument/2006/relationships/hyperlink" Target="http://services.igi-global.com/resolvedoi/resolve.aspx?doi=10.4018/979-8-3693-1491-3" TargetMode="External"/><Relationship Id="rId61" Type="http://schemas.openxmlformats.org/officeDocument/2006/relationships/hyperlink" Target="http://services.igi-global.com/resolvedoi/resolve.aspx?doi=10.4018/979-8-3693-1078-6" TargetMode="External"/><Relationship Id="rId82" Type="http://schemas.openxmlformats.org/officeDocument/2006/relationships/hyperlink" Target="http://services.igi-global.com/resolvedoi/resolve.aspx?doi=10.4018/979-8-3693-2683-1" TargetMode="External"/><Relationship Id="rId152" Type="http://schemas.openxmlformats.org/officeDocument/2006/relationships/hyperlink" Target="http://services.igi-global.com/resolvedoi/resolve.aspx?doi=10.4018/979-8-3693-1168-4" TargetMode="External"/><Relationship Id="rId19" Type="http://schemas.openxmlformats.org/officeDocument/2006/relationships/hyperlink" Target="http://services.igi-global.com/resolvedoi/resolve.aspx?doi=10.4018/978-1-7998-5817-1" TargetMode="External"/><Relationship Id="rId14" Type="http://schemas.openxmlformats.org/officeDocument/2006/relationships/hyperlink" Target="http://services.igi-global.com/resolvedoi/resolve.aspx?doi=10.4018/978-1-7998-7180-4" TargetMode="External"/><Relationship Id="rId30" Type="http://schemas.openxmlformats.org/officeDocument/2006/relationships/hyperlink" Target="http://services.igi-global.com/resolvedoi/resolve.aspx?doi=10.4018/979-8-3693-0532-4" TargetMode="External"/><Relationship Id="rId35" Type="http://schemas.openxmlformats.org/officeDocument/2006/relationships/hyperlink" Target="http://services.igi-global.com/resolvedoi/resolve.aspx?doi=10.4018/978-1-6684-9285-7" TargetMode="External"/><Relationship Id="rId56" Type="http://schemas.openxmlformats.org/officeDocument/2006/relationships/hyperlink" Target="http://services.igi-global.com/resolvedoi/resolve.aspx?doi=10.4018/979-8-3693-1030-4" TargetMode="External"/><Relationship Id="rId77" Type="http://schemas.openxmlformats.org/officeDocument/2006/relationships/hyperlink" Target="http://services.igi-global.com/resolvedoi/resolve.aspx?doi=10.4018/979-8-3693-1371-8" TargetMode="External"/><Relationship Id="rId100" Type="http://schemas.openxmlformats.org/officeDocument/2006/relationships/hyperlink" Target="http://services.igi-global.com/resolvedoi/resolve.aspx?doi=10.4018/979-8-3693-1115-8" TargetMode="External"/><Relationship Id="rId105" Type="http://schemas.openxmlformats.org/officeDocument/2006/relationships/hyperlink" Target="http://services.igi-global.com/resolvedoi/resolve.aspx?doi=10.4018/979-8-3693-1922-2" TargetMode="External"/><Relationship Id="rId126" Type="http://schemas.openxmlformats.org/officeDocument/2006/relationships/hyperlink" Target="http://services.igi-global.com/resolvedoi/resolve.aspx?doi=10.4018/979-8-3693-0794-6" TargetMode="External"/><Relationship Id="rId147" Type="http://schemas.openxmlformats.org/officeDocument/2006/relationships/hyperlink" Target="http://services.igi-global.com/resolvedoi/resolve.aspx?doi=10.4018/979-8-3693-0786-1" TargetMode="External"/><Relationship Id="rId8" Type="http://schemas.openxmlformats.org/officeDocument/2006/relationships/hyperlink" Target="http://services.igi-global.com/resolvedoi/resolve.aspx?doi=10.4018/978-1-5225-6954-1" TargetMode="External"/><Relationship Id="rId51" Type="http://schemas.openxmlformats.org/officeDocument/2006/relationships/hyperlink" Target="http://services.igi-global.com/resolvedoi/resolve.aspx?doi=10.4018/979-8-3693-1347-3" TargetMode="External"/><Relationship Id="rId72" Type="http://schemas.openxmlformats.org/officeDocument/2006/relationships/hyperlink" Target="http://services.igi-global.com/resolvedoi/resolve.aspx?doi=10.4018/979-8-3693-1818-8" TargetMode="External"/><Relationship Id="rId93" Type="http://schemas.openxmlformats.org/officeDocument/2006/relationships/hyperlink" Target="http://services.igi-global.com/resolvedoi/resolve.aspx?doi=10.4018/979-8-3693-0876-9" TargetMode="External"/><Relationship Id="rId98" Type="http://schemas.openxmlformats.org/officeDocument/2006/relationships/hyperlink" Target="http://services.igi-global.com/resolvedoi/resolve.aspx?doi=10.4018/979-8-3693-2639-8" TargetMode="External"/><Relationship Id="rId121" Type="http://schemas.openxmlformats.org/officeDocument/2006/relationships/hyperlink" Target="http://services.igi-global.com/resolvedoi/resolve.aspx?doi=10.4018/979-8-3693-0044-2" TargetMode="External"/><Relationship Id="rId142" Type="http://schemas.openxmlformats.org/officeDocument/2006/relationships/hyperlink" Target="http://services.igi-global.com/resolvedoi/resolve.aspx?doi=10.4018/979-8-3693-0659-8" TargetMode="External"/><Relationship Id="rId163" Type="http://schemas.openxmlformats.org/officeDocument/2006/relationships/hyperlink" Target="http://services.igi-global.com/resolvedoi/resolve.aspx?doi=10.4018/978-1-6684-8893-5" TargetMode="External"/><Relationship Id="rId3" Type="http://schemas.openxmlformats.org/officeDocument/2006/relationships/hyperlink" Target="http://services.igi-global.com/resolvedoi/resolve.aspx?doi=10.4018/978-1-5225-6341-9" TargetMode="External"/><Relationship Id="rId25" Type="http://schemas.openxmlformats.org/officeDocument/2006/relationships/hyperlink" Target="http://services.igi-global.com/resolvedoi/resolve.aspx?doi=10.4018/978-1-6684-6155-6" TargetMode="External"/><Relationship Id="rId46" Type="http://schemas.openxmlformats.org/officeDocument/2006/relationships/hyperlink" Target="http://services.igi-global.com/resolvedoi/resolve.aspx?doi=10.4018/979-8-3693-0802-8" TargetMode="External"/><Relationship Id="rId67" Type="http://schemas.openxmlformats.org/officeDocument/2006/relationships/hyperlink" Target="http://services.igi-global.com/resolvedoi/resolve.aspx?doi=10.4018/979-8-3693-0537-9" TargetMode="External"/><Relationship Id="rId116" Type="http://schemas.openxmlformats.org/officeDocument/2006/relationships/hyperlink" Target="http://services.igi-global.com/resolvedoi/resolve.aspx?doi=10.4018/978-1-6684-8816-4" TargetMode="External"/><Relationship Id="rId137" Type="http://schemas.openxmlformats.org/officeDocument/2006/relationships/hyperlink" Target="http://services.igi-global.com/resolvedoi/resolve.aspx?doi=10.4018/979-8-3693-2679-4" TargetMode="External"/><Relationship Id="rId158" Type="http://schemas.openxmlformats.org/officeDocument/2006/relationships/hyperlink" Target="http://services.igi-global.com/resolvedoi/resolve.aspx?doi=10.4018/979-8-3693-2011-2" TargetMode="External"/><Relationship Id="rId20" Type="http://schemas.openxmlformats.org/officeDocument/2006/relationships/hyperlink" Target="http://services.igi-global.com/resolvedoi/resolve.aspx?doi=10.4018/978-1-6684-9711-1" TargetMode="External"/><Relationship Id="rId41" Type="http://schemas.openxmlformats.org/officeDocument/2006/relationships/hyperlink" Target="http://services.igi-global.com/resolvedoi/resolve.aspx?doi=10.4018/978-1-6684-6975-0" TargetMode="External"/><Relationship Id="rId62" Type="http://schemas.openxmlformats.org/officeDocument/2006/relationships/hyperlink" Target="http://services.igi-global.com/resolvedoi/resolve.aspx?doi=10.4018/979-8-3693-1561-3" TargetMode="External"/><Relationship Id="rId83" Type="http://schemas.openxmlformats.org/officeDocument/2006/relationships/hyperlink" Target="http://services.igi-global.com/resolvedoi/resolve.aspx?doi=10.4018/979-8-3693-2177-5" TargetMode="External"/><Relationship Id="rId88" Type="http://schemas.openxmlformats.org/officeDocument/2006/relationships/hyperlink" Target="http://services.igi-global.com/resolvedoi/resolve.aspx?doi=10.4018/978-1-7998-7430-0" TargetMode="External"/><Relationship Id="rId111" Type="http://schemas.openxmlformats.org/officeDocument/2006/relationships/hyperlink" Target="http://services.igi-global.com/resolvedoi/resolve.aspx?doi=10.4018/978-1-7998-8686-0" TargetMode="External"/><Relationship Id="rId132" Type="http://schemas.openxmlformats.org/officeDocument/2006/relationships/hyperlink" Target="http://services.igi-global.com/resolvedoi/resolve.aspx?doi=10.4018/978-1-6684-9863-7" TargetMode="External"/><Relationship Id="rId153" Type="http://schemas.openxmlformats.org/officeDocument/2006/relationships/hyperlink" Target="http://services.igi-global.com/resolvedoi/resolve.aspx?doi=10.4018/979-8-3693-1738-9" TargetMode="External"/><Relationship Id="rId15" Type="http://schemas.openxmlformats.org/officeDocument/2006/relationships/hyperlink" Target="http://services.igi-global.com/resolvedoi/resolve.aspx?doi=10.4018/978-1-7998-7963-3" TargetMode="External"/><Relationship Id="rId36" Type="http://schemas.openxmlformats.org/officeDocument/2006/relationships/hyperlink" Target="http://services.igi-global.com/resolvedoi/resolve.aspx?doi=10.4018/979-8-3693-2077-8" TargetMode="External"/><Relationship Id="rId57" Type="http://schemas.openxmlformats.org/officeDocument/2006/relationships/hyperlink" Target="http://services.igi-global.com/resolvedoi/resolve.aspx?doi=10.4018/979-8-3693-0993-3" TargetMode="External"/><Relationship Id="rId106" Type="http://schemas.openxmlformats.org/officeDocument/2006/relationships/hyperlink" Target="http://services.igi-global.com/resolvedoi/resolve.aspx?doi=10.4018/979-8-3693-2238-3" TargetMode="External"/><Relationship Id="rId127" Type="http://schemas.openxmlformats.org/officeDocument/2006/relationships/hyperlink" Target="http://services.igi-global.com/resolvedoi/resolve.aspx?doi=10.4018/978-1-6684-8963-5" TargetMode="External"/><Relationship Id="rId10" Type="http://schemas.openxmlformats.org/officeDocument/2006/relationships/hyperlink" Target="http://services.igi-global.com/resolvedoi/resolve.aspx?doi=10.4018/978-1-5225-9550-2" TargetMode="External"/><Relationship Id="rId31" Type="http://schemas.openxmlformats.org/officeDocument/2006/relationships/hyperlink" Target="http://services.igi-global.com/resolvedoi/resolve.aspx?doi=10.4018/979-8-3693-1151-6" TargetMode="External"/><Relationship Id="rId52" Type="http://schemas.openxmlformats.org/officeDocument/2006/relationships/hyperlink" Target="http://services.igi-global.com/resolvedoi/resolve.aspx?doi=10.4018/979-8-3693-1331-2" TargetMode="External"/><Relationship Id="rId73" Type="http://schemas.openxmlformats.org/officeDocument/2006/relationships/hyperlink" Target="http://services.igi-global.com/resolvedoi/resolve.aspx?doi=10.4018/979-8-3693-1978-9" TargetMode="External"/><Relationship Id="rId78" Type="http://schemas.openxmlformats.org/officeDocument/2006/relationships/hyperlink" Target="http://services.igi-global.com/resolvedoi/resolve.aspx?doi=10.4018/979-8-3693-1814-0" TargetMode="External"/><Relationship Id="rId94" Type="http://schemas.openxmlformats.org/officeDocument/2006/relationships/hyperlink" Target="http://services.igi-global.com/resolvedoi/resolve.aspx?doi=10.4018/978-1-6684-8938-3" TargetMode="External"/><Relationship Id="rId99" Type="http://schemas.openxmlformats.org/officeDocument/2006/relationships/hyperlink" Target="http://services.igi-global.com/resolvedoi/resolve.aspx?doi=10.4018/979-8-3693-1090-8" TargetMode="External"/><Relationship Id="rId101" Type="http://schemas.openxmlformats.org/officeDocument/2006/relationships/hyperlink" Target="http://services.igi-global.com/resolvedoi/resolve.aspx?doi=10.4018/979-8-3693-1281-0" TargetMode="External"/><Relationship Id="rId122" Type="http://schemas.openxmlformats.org/officeDocument/2006/relationships/hyperlink" Target="http://services.igi-global.com/resolvedoi/resolve.aspx?doi=10.4018/978-1-6684-6971-2" TargetMode="External"/><Relationship Id="rId143" Type="http://schemas.openxmlformats.org/officeDocument/2006/relationships/hyperlink" Target="http://services.igi-global.com/resolvedoi/resolve.aspx?doi=10.4018/979-8-3693-0440-2" TargetMode="External"/><Relationship Id="rId148" Type="http://schemas.openxmlformats.org/officeDocument/2006/relationships/hyperlink" Target="http://services.igi-global.com/resolvedoi/resolve.aspx?doi=10.4018/979-8-3693-0578-2" TargetMode="External"/><Relationship Id="rId164" Type="http://schemas.openxmlformats.org/officeDocument/2006/relationships/hyperlink" Target="http://services.igi-global.com/resolvedoi/resolve.aspx?doi=10.4018/978-1-6684-6737-4" TargetMode="External"/><Relationship Id="rId4" Type="http://schemas.openxmlformats.org/officeDocument/2006/relationships/hyperlink" Target="http://services.igi-global.com/resolvedoi/resolve.aspx?doi=10.4018/978-1-5225-5915-3" TargetMode="External"/><Relationship Id="rId9" Type="http://schemas.openxmlformats.org/officeDocument/2006/relationships/hyperlink" Target="http://services.igi-global.com/resolvedoi/resolve.aspx?doi=10.4018/978-1-7998-0062-0" TargetMode="External"/><Relationship Id="rId26" Type="http://schemas.openxmlformats.org/officeDocument/2006/relationships/hyperlink" Target="http://services.igi-global.com/resolvedoi/resolve.aspx?doi=10.4018/978-1-6684-9300-7" TargetMode="External"/><Relationship Id="rId47" Type="http://schemas.openxmlformats.org/officeDocument/2006/relationships/hyperlink" Target="http://services.igi-global.com/resolvedoi/resolve.aspx?doi=10.4018/979-8-3693-0807-3" TargetMode="External"/><Relationship Id="rId68" Type="http://schemas.openxmlformats.org/officeDocument/2006/relationships/hyperlink" Target="http://services.igi-global.com/resolvedoi/resolve.aspx?doi=10.4018/979-8-3693-0762-5" TargetMode="External"/><Relationship Id="rId89" Type="http://schemas.openxmlformats.org/officeDocument/2006/relationships/hyperlink" Target="http://services.igi-global.com/resolvedoi/resolve.aspx?doi=10.4018/978-1-6684-4405-4" TargetMode="External"/><Relationship Id="rId112" Type="http://schemas.openxmlformats.org/officeDocument/2006/relationships/hyperlink" Target="http://services.igi-global.com/resolvedoi/resolve.aspx?doi=10.4018/978-1-7998-9426-1" TargetMode="External"/><Relationship Id="rId133" Type="http://schemas.openxmlformats.org/officeDocument/2006/relationships/hyperlink" Target="http://services.igi-global.com/resolvedoi/resolve.aspx?doi=10.4018/978-1-6684-9838-5" TargetMode="External"/><Relationship Id="rId154" Type="http://schemas.openxmlformats.org/officeDocument/2006/relationships/hyperlink" Target="http://services.igi-global.com/resolvedoi/resolve.aspx?doi=10.4018/979-8-3693-1018-2" TargetMode="External"/><Relationship Id="rId16" Type="http://schemas.openxmlformats.org/officeDocument/2006/relationships/hyperlink" Target="http://services.igi-global.com/resolvedoi/resolve.aspx?doi=10.4018/978-1-7998-9706-4" TargetMode="External"/><Relationship Id="rId37" Type="http://schemas.openxmlformats.org/officeDocument/2006/relationships/hyperlink" Target="http://services.igi-global.com/resolvedoi/resolve.aspx?doi=10.4018/978-1-6684-9716-6" TargetMode="External"/><Relationship Id="rId58" Type="http://schemas.openxmlformats.org/officeDocument/2006/relationships/hyperlink" Target="http://services.igi-global.com/resolvedoi/resolve.aspx?doi=10.4018/979-8-3693-0831-8" TargetMode="External"/><Relationship Id="rId79" Type="http://schemas.openxmlformats.org/officeDocument/2006/relationships/hyperlink" Target="http://services.igi-global.com/resolvedoi/resolve.aspx?doi=10.4018/979-8-3693-0839-4" TargetMode="External"/><Relationship Id="rId102" Type="http://schemas.openxmlformats.org/officeDocument/2006/relationships/hyperlink" Target="http://services.igi-global.com/resolvedoi/resolve.aspx?doi=10.4018/979-8-3693-1479-1" TargetMode="External"/><Relationship Id="rId123" Type="http://schemas.openxmlformats.org/officeDocument/2006/relationships/hyperlink" Target="http://services.igi-global.com/resolvedoi/resolve.aspx?doi=10.4018/979-8-3693-1301-5" TargetMode="External"/><Relationship Id="rId144" Type="http://schemas.openxmlformats.org/officeDocument/2006/relationships/hyperlink" Target="http://services.igi-global.com/resolvedoi/resolve.aspx?doi=10.4018/978-1-6684-7625-3" TargetMode="External"/><Relationship Id="rId90" Type="http://schemas.openxmlformats.org/officeDocument/2006/relationships/hyperlink" Target="http://services.igi-global.com/resolvedoi/resolve.aspx?doi=10.4018/978-1-6684-7561-4" TargetMode="External"/><Relationship Id="rId27" Type="http://schemas.openxmlformats.org/officeDocument/2006/relationships/hyperlink" Target="http://services.igi-global.com/resolvedoi/resolve.aspx?doi=10.4018/978-1-6684-9277-2" TargetMode="External"/><Relationship Id="rId48" Type="http://schemas.openxmlformats.org/officeDocument/2006/relationships/hyperlink" Target="http://services.igi-global.com/resolvedoi/resolve.aspx?doi=10.4018/978-1-6684-9833-0" TargetMode="External"/><Relationship Id="rId69" Type="http://schemas.openxmlformats.org/officeDocument/2006/relationships/hyperlink" Target="http://services.igi-global.com/resolvedoi/resolve.aspx?doi=10.4018/979-8-3693-0872-1" TargetMode="External"/><Relationship Id="rId113" Type="http://schemas.openxmlformats.org/officeDocument/2006/relationships/hyperlink" Target="http://services.igi-global.com/resolvedoi/resolve.aspx?doi=10.4018/978-1-6684-5072-7" TargetMode="External"/><Relationship Id="rId134" Type="http://schemas.openxmlformats.org/officeDocument/2006/relationships/hyperlink" Target="http://services.igi-global.com/resolvedoi/resolve.aspx?doi=10.4018/979-8-3693-1722-8" TargetMode="External"/><Relationship Id="rId80" Type="http://schemas.openxmlformats.org/officeDocument/2006/relationships/hyperlink" Target="http://services.igi-global.com/resolvedoi/resolve.aspx?doi=10.4018/979-8-3693-1842-3" TargetMode="External"/><Relationship Id="rId155" Type="http://schemas.openxmlformats.org/officeDocument/2006/relationships/hyperlink" Target="http://services.igi-global.com/resolvedoi/resolve.aspx?doi=10.4018/979-8-3693-1046-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018/978-1-4666-4683-4" TargetMode="External"/><Relationship Id="rId2" Type="http://schemas.openxmlformats.org/officeDocument/2006/relationships/hyperlink" Target="http://dx.doi.org/10.4018/978-1-4666-4550-9" TargetMode="External"/><Relationship Id="rId1" Type="http://schemas.openxmlformats.org/officeDocument/2006/relationships/hyperlink" Target="http://dx.doi.org/10.4018/978-1-4666-5994-0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services.igi-global.com/resolvedoi/resolve.aspx?doi=10.4018/978-1-61350-177-1" TargetMode="External"/><Relationship Id="rId1" Type="http://schemas.openxmlformats.org/officeDocument/2006/relationships/hyperlink" Target="http://services.igi-global.com/resolvedoi/resolve.aspx?doi=10.4018/978-1-46664-538-7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services.igi-global.com/resolvedoi/resolve.aspx?doi=10.4018/978-1-46669-639-6" TargetMode="External"/><Relationship Id="rId117" Type="http://schemas.openxmlformats.org/officeDocument/2006/relationships/hyperlink" Target="http://services.igi-global.com/resolvedoi/resolve.aspx?doi=10.4018/978-1-4666-9761-4" TargetMode="External"/><Relationship Id="rId21" Type="http://schemas.openxmlformats.org/officeDocument/2006/relationships/hyperlink" Target="http://services.igi-global.com/resolvedoi/resolve.aspx?doi=10.4018/978-1-46668-125-5" TargetMode="External"/><Relationship Id="rId42" Type="http://schemas.openxmlformats.org/officeDocument/2006/relationships/hyperlink" Target="http://services.igi-global.com/resolvedoi/resolve.aspx?doi=10.4018/978-1-46668-577-2" TargetMode="External"/><Relationship Id="rId47" Type="http://schemas.openxmlformats.org/officeDocument/2006/relationships/hyperlink" Target="http://services.igi-global.com/resolvedoi/resolve.aspx?doi=10.4018/978-1-46668-586-4" TargetMode="External"/><Relationship Id="rId63" Type="http://schemas.openxmlformats.org/officeDocument/2006/relationships/hyperlink" Target="http://services.igi-global.com/resolvedoi/resolve.aspx?doi=10.4018/978-1-46669-740-9" TargetMode="External"/><Relationship Id="rId68" Type="http://schemas.openxmlformats.org/officeDocument/2006/relationships/hyperlink" Target="http://services.igi-global.com/resolvedoi/resolve.aspx?doi=10.4018/978-1-52250-063-6" TargetMode="External"/><Relationship Id="rId84" Type="http://schemas.openxmlformats.org/officeDocument/2006/relationships/hyperlink" Target="http://services.igi-global.com/resolvedoi/resolve.aspx?doi=10.4018/978-1-46669-685-3" TargetMode="External"/><Relationship Id="rId89" Type="http://schemas.openxmlformats.org/officeDocument/2006/relationships/hyperlink" Target="http://services.igi-global.com/resolvedoi/resolve.aspx?doi=10.4018/978-1-46669-572-6" TargetMode="External"/><Relationship Id="rId112" Type="http://schemas.openxmlformats.org/officeDocument/2006/relationships/hyperlink" Target="http://services.igi-global.com/resolvedoi/resolve.aspx?doi=10.4018/978-1-4666-7288-8" TargetMode="External"/><Relationship Id="rId16" Type="http://schemas.openxmlformats.org/officeDocument/2006/relationships/hyperlink" Target="http://services.igi-global.com/resolvedoi/resolve.aspx?doi=10.4018/978-1-46667-369-4" TargetMode="External"/><Relationship Id="rId107" Type="http://schemas.openxmlformats.org/officeDocument/2006/relationships/hyperlink" Target="http://services.igi-global.com/resolvedoi/resolve.aspx?doi=10.4018/978-1-4666-8188-0" TargetMode="External"/><Relationship Id="rId11" Type="http://schemas.openxmlformats.org/officeDocument/2006/relationships/hyperlink" Target="http://services.igi-global.com/resolvedoi/resolve.aspx?doi=10.4018/978-1-52250-212-8" TargetMode="External"/><Relationship Id="rId32" Type="http://schemas.openxmlformats.org/officeDocument/2006/relationships/hyperlink" Target="http://services.igi-global.com/resolvedoi/resolve.aspx?doi=10.4018/978-1-46667-278-9" TargetMode="External"/><Relationship Id="rId37" Type="http://schemas.openxmlformats.org/officeDocument/2006/relationships/hyperlink" Target="http://services.igi-global.com/resolvedoi/resolve.aspx?doi=10.4018/978-1-52250-075-9" TargetMode="External"/><Relationship Id="rId53" Type="http://schemas.openxmlformats.org/officeDocument/2006/relationships/hyperlink" Target="http://services.igi-global.com/resolvedoi/resolve.aspx?doi=10.4018/978-1-46669-522-1" TargetMode="External"/><Relationship Id="rId58" Type="http://schemas.openxmlformats.org/officeDocument/2006/relationships/hyperlink" Target="http://services.igi-global.com/resolvedoi/resolve.aspx?doi=10.4018/978-1-61350-095-8" TargetMode="External"/><Relationship Id="rId74" Type="http://schemas.openxmlformats.org/officeDocument/2006/relationships/hyperlink" Target="http://services.igi-global.com/resolvedoi/resolve.aspx?doi=10.4018/978-1-60960-123-2" TargetMode="External"/><Relationship Id="rId79" Type="http://schemas.openxmlformats.org/officeDocument/2006/relationships/hyperlink" Target="http://services.igi-global.com/resolvedoi/resolve.aspx?doi=10.4018/978-1-46662-655-3" TargetMode="External"/><Relationship Id="rId102" Type="http://schemas.openxmlformats.org/officeDocument/2006/relationships/hyperlink" Target="http://services.igi-global.com/resolvedoi/resolve.aspx?doi=10.4018/978-1-52250-072-8" TargetMode="External"/><Relationship Id="rId123" Type="http://schemas.openxmlformats.org/officeDocument/2006/relationships/hyperlink" Target="http://services.igi-global.com/resolvedoi/resolve.aspx?doi=10.4018/978-1-4666-8714-1" TargetMode="External"/><Relationship Id="rId5" Type="http://schemas.openxmlformats.org/officeDocument/2006/relationships/hyperlink" Target="http://services.igi-global.com/resolvedoi/resolve.aspx?doi=10.4018/978-1-46669-998-4" TargetMode="External"/><Relationship Id="rId90" Type="http://schemas.openxmlformats.org/officeDocument/2006/relationships/hyperlink" Target="http://services.igi-global.com/resolvedoi/resolve.aspx?doi=10.4018/978-1-46668-654-0" TargetMode="External"/><Relationship Id="rId95" Type="http://schemas.openxmlformats.org/officeDocument/2006/relationships/hyperlink" Target="http://services.igi-global.com/resolvedoi/resolve.aspx?doi=10.4018/978-1-46669-834-5" TargetMode="External"/><Relationship Id="rId22" Type="http://schemas.openxmlformats.org/officeDocument/2006/relationships/hyperlink" Target="http://services.igi-global.com/resolvedoi/resolve.aspx?doi=10.4018/978-1-46667-536-0" TargetMode="External"/><Relationship Id="rId27" Type="http://schemas.openxmlformats.org/officeDocument/2006/relationships/hyperlink" Target="http://services.igi-global.com/resolvedoi/resolve.aspx?doi=10.4018/978-1-46668-274-0" TargetMode="External"/><Relationship Id="rId43" Type="http://schemas.openxmlformats.org/officeDocument/2006/relationships/hyperlink" Target="http://services.igi-global.com/resolvedoi/resolve.aspx?doi=10.4018/978-1-46669-888-8" TargetMode="External"/><Relationship Id="rId48" Type="http://schemas.openxmlformats.org/officeDocument/2006/relationships/hyperlink" Target="http://services.igi-global.com/resolvedoi/resolve.aspx?doi=10.4018/978-1-46669-867-3" TargetMode="External"/><Relationship Id="rId64" Type="http://schemas.openxmlformats.org/officeDocument/2006/relationships/hyperlink" Target="http://services.igi-global.com/resolvedoi/resolve.aspx?doi=10.4018/978-1-46669-964-9" TargetMode="External"/><Relationship Id="rId69" Type="http://schemas.openxmlformats.org/officeDocument/2006/relationships/hyperlink" Target="http://services.igi-global.com/resolvedoi/resolve.aspx?doi=10.4018/978-1-46669-545-0" TargetMode="External"/><Relationship Id="rId113" Type="http://schemas.openxmlformats.org/officeDocument/2006/relationships/hyperlink" Target="http://services.igi-global.com/resolvedoi/resolve.aspx?doi=10.4018/978-1-4666-8496-6" TargetMode="External"/><Relationship Id="rId118" Type="http://schemas.openxmlformats.org/officeDocument/2006/relationships/hyperlink" Target="http://services.igi-global.com/resolvedoi/resolve.aspx?doi=10.4018/978-1-5225-0190-9" TargetMode="External"/><Relationship Id="rId80" Type="http://schemas.openxmlformats.org/officeDocument/2006/relationships/hyperlink" Target="http://services.igi-global.com/resolvedoi/resolve.aspx?doi=10.4018/978-1-52250-102-2" TargetMode="External"/><Relationship Id="rId85" Type="http://schemas.openxmlformats.org/officeDocument/2006/relationships/hyperlink" Target="http://services.igi-global.com/resolvedoi/resolve.aspx?doi=10.4018/978-1-46669-837-6" TargetMode="External"/><Relationship Id="rId12" Type="http://schemas.openxmlformats.org/officeDocument/2006/relationships/hyperlink" Target="http://services.igi-global.com/resolvedoi/resolve.aspx?doi=10.4018/978-1-46669-720-1" TargetMode="External"/><Relationship Id="rId17" Type="http://schemas.openxmlformats.org/officeDocument/2006/relationships/hyperlink" Target="http://services.igi-global.com/resolvedoi/resolve.aspx?doi=10.4018/978-1-46669-784-3" TargetMode="External"/><Relationship Id="rId33" Type="http://schemas.openxmlformats.org/officeDocument/2006/relationships/hyperlink" Target="http://services.igi-global.com/resolvedoi/resolve.aspx?doi=10.4018/978-1-46668-505-5" TargetMode="External"/><Relationship Id="rId38" Type="http://schemas.openxmlformats.org/officeDocument/2006/relationships/hyperlink" Target="http://services.igi-global.com/resolvedoi/resolve.aspx?doi=10.4018/978-1-46669-758-4" TargetMode="External"/><Relationship Id="rId59" Type="http://schemas.openxmlformats.org/officeDocument/2006/relationships/hyperlink" Target="http://services.igi-global.com/resolvedoi/resolve.aspx?doi=10.4018/978-1-60960-780-7" TargetMode="External"/><Relationship Id="rId103" Type="http://schemas.openxmlformats.org/officeDocument/2006/relationships/hyperlink" Target="http://services.igi-global.com/resolvedoi/resolve.aspx?doi=10.4018/978-1-46669-734-8" TargetMode="External"/><Relationship Id="rId108" Type="http://schemas.openxmlformats.org/officeDocument/2006/relationships/hyperlink" Target="http://services.igi-global.com/resolvedoi/resolve.aspx?doi=10.4018/978-1-4666-5990-2" TargetMode="External"/><Relationship Id="rId124" Type="http://schemas.openxmlformats.org/officeDocument/2006/relationships/hyperlink" Target="http://services.igi-global.com/resolvedoi/resolve.aspx?doi=10.4018/978-1-4666-8693-9" TargetMode="External"/><Relationship Id="rId54" Type="http://schemas.openxmlformats.org/officeDocument/2006/relationships/hyperlink" Target="http://services.igi-global.com/resolvedoi/resolve.aspx?doi=10.4018/978-1-52250-115-2" TargetMode="External"/><Relationship Id="rId70" Type="http://schemas.openxmlformats.org/officeDocument/2006/relationships/hyperlink" Target="http://services.igi-global.com/resolvedoi/resolve.aspx?doi=10.4018/978-1-46669-792-8" TargetMode="External"/><Relationship Id="rId75" Type="http://schemas.openxmlformats.org/officeDocument/2006/relationships/hyperlink" Target="http://services.igi-global.com/resolvedoi/resolve.aspx?doi=10.4018/978-1-46669-764-5" TargetMode="External"/><Relationship Id="rId91" Type="http://schemas.openxmlformats.org/officeDocument/2006/relationships/hyperlink" Target="http://services.igi-global.com/resolvedoi/resolve.aspx?doi=10.4018/978-1-52250-177-0" TargetMode="External"/><Relationship Id="rId96" Type="http://schemas.openxmlformats.org/officeDocument/2006/relationships/hyperlink" Target="http://services.igi-global.com/resolvedoi/resolve.aspx?doi=10.4018/978-1-46664-066-5" TargetMode="External"/><Relationship Id="rId1" Type="http://schemas.openxmlformats.org/officeDocument/2006/relationships/hyperlink" Target="http://services.igi-global.com/resolvedoi/resolve.aspx?doi=10.4018/978-1-46669-879-6" TargetMode="External"/><Relationship Id="rId6" Type="http://schemas.openxmlformats.org/officeDocument/2006/relationships/hyperlink" Target="http://services.igi-global.com/resolvedoi/resolve.aspx?doi=10.4018/978-1-46667-236-9" TargetMode="External"/><Relationship Id="rId23" Type="http://schemas.openxmlformats.org/officeDocument/2006/relationships/hyperlink" Target="http://services.igi-global.com/resolvedoi/resolve.aspx?doi=10.4018/978-1-46668-162-0" TargetMode="External"/><Relationship Id="rId28" Type="http://schemas.openxmlformats.org/officeDocument/2006/relationships/hyperlink" Target="http://services.igi-global.com/resolvedoi/resolve.aspx?doi=10.4018/978-1-46669-806-2" TargetMode="External"/><Relationship Id="rId49" Type="http://schemas.openxmlformats.org/officeDocument/2006/relationships/hyperlink" Target="http://services.igi-global.com/resolvedoi/resolve.aspx?doi=10.4018/978-1-52250-001-8" TargetMode="External"/><Relationship Id="rId114" Type="http://schemas.openxmlformats.org/officeDocument/2006/relationships/hyperlink" Target="http://services.igi-global.com/resolvedoi/resolve.aspx?doi=10.4018/978-1-5225-0007-0" TargetMode="External"/><Relationship Id="rId119" Type="http://schemas.openxmlformats.org/officeDocument/2006/relationships/hyperlink" Target="http://services.igi-global.com/resolvedoi/resolve.aspx?doi=10.4018/978-1-4666-8438-6" TargetMode="External"/><Relationship Id="rId44" Type="http://schemas.openxmlformats.org/officeDocument/2006/relationships/hyperlink" Target="http://services.igi-global.com/resolvedoi/resolve.aspx?doi=10.4018/978-1-46669-607-5" TargetMode="External"/><Relationship Id="rId60" Type="http://schemas.openxmlformats.org/officeDocument/2006/relationships/hyperlink" Target="http://services.igi-global.com/resolvedoi/resolve.aspx?doi=10.4018/978-1-46669-530-6" TargetMode="External"/><Relationship Id="rId65" Type="http://schemas.openxmlformats.org/officeDocument/2006/relationships/hyperlink" Target="http://services.igi-global.com/resolvedoi/resolve.aspx?doi=10.4018/978-1-46668-676-2" TargetMode="External"/><Relationship Id="rId81" Type="http://schemas.openxmlformats.org/officeDocument/2006/relationships/hyperlink" Target="http://services.igi-global.com/resolvedoi/resolve.aspx?doi=10.4018/978-1-46669-941-0" TargetMode="External"/><Relationship Id="rId86" Type="http://schemas.openxmlformats.org/officeDocument/2006/relationships/hyperlink" Target="http://services.igi-global.com/resolvedoi/resolve.aspx?doi=10.4018/978-1-46668-662-5" TargetMode="External"/><Relationship Id="rId13" Type="http://schemas.openxmlformats.org/officeDocument/2006/relationships/hyperlink" Target="http://services.igi-global.com/resolvedoi/resolve.aspx?doi=10.4018/978-1-46668-699-1" TargetMode="External"/><Relationship Id="rId18" Type="http://schemas.openxmlformats.org/officeDocument/2006/relationships/hyperlink" Target="http://services.igi-global.com/resolvedoi/resolve.aspx?doi=10.4018/978-1-52250-182-4" TargetMode="External"/><Relationship Id="rId39" Type="http://schemas.openxmlformats.org/officeDocument/2006/relationships/hyperlink" Target="http://services.igi-global.com/resolvedoi/resolve.aspx?doi=10.4018/978-1-46669-767-6" TargetMode="External"/><Relationship Id="rId109" Type="http://schemas.openxmlformats.org/officeDocument/2006/relationships/hyperlink" Target="http://services.igi-global.com/resolvedoi/resolve.aspx?doi=10.4018/978-1-4666-7533-9" TargetMode="External"/><Relationship Id="rId34" Type="http://schemas.openxmlformats.org/officeDocument/2006/relationships/hyperlink" Target="http://services.igi-global.com/resolvedoi/resolve.aspx?doi=10.4018/978-1-46668-450-8" TargetMode="External"/><Relationship Id="rId50" Type="http://schemas.openxmlformats.org/officeDocument/2006/relationships/hyperlink" Target="http://services.igi-global.com/resolvedoi/resolve.aspx?doi=10.4018/978-1-46666-300-8" TargetMode="External"/><Relationship Id="rId55" Type="http://schemas.openxmlformats.org/officeDocument/2006/relationships/hyperlink" Target="http://services.igi-global.com/resolvedoi/resolve.aspx?doi=10.4018/978-1-52250-362-0" TargetMode="External"/><Relationship Id="rId76" Type="http://schemas.openxmlformats.org/officeDocument/2006/relationships/hyperlink" Target="http://services.igi-global.com/resolvedoi/resolve.aspx?doi=10.4018/978-1-46668-696-0" TargetMode="External"/><Relationship Id="rId97" Type="http://schemas.openxmlformats.org/officeDocument/2006/relationships/hyperlink" Target="http://services.igi-global.com/resolvedoi/resolve.aspx?doi=10.4018/978-1-46668-761-5" TargetMode="External"/><Relationship Id="rId104" Type="http://schemas.openxmlformats.org/officeDocument/2006/relationships/hyperlink" Target="http://services.igi-global.com/resolvedoi/resolve.aspx?doi=10.4018/978-1-46669-743-0" TargetMode="External"/><Relationship Id="rId120" Type="http://schemas.openxmlformats.org/officeDocument/2006/relationships/hyperlink" Target="http://services.igi-global.com/resolvedoi/resolve.aspx?doi=10.4018/978-1-5225-0125-1" TargetMode="External"/><Relationship Id="rId125" Type="http://schemas.openxmlformats.org/officeDocument/2006/relationships/hyperlink" Target="http://services.igi-global.com/resolvedoi/resolve.aspx?doi=10.4018/978-1-4666-8556-7" TargetMode="External"/><Relationship Id="rId7" Type="http://schemas.openxmlformats.org/officeDocument/2006/relationships/hyperlink" Target="http://services.igi-global.com/resolvedoi/resolve.aspx?doi=10.4018/978-1-46668-629-8" TargetMode="External"/><Relationship Id="rId71" Type="http://schemas.openxmlformats.org/officeDocument/2006/relationships/hyperlink" Target="http://services.igi-global.com/resolvedoi/resolve.aspx?doi=10.4018/978-1-46664-999-6" TargetMode="External"/><Relationship Id="rId92" Type="http://schemas.openxmlformats.org/officeDocument/2006/relationships/hyperlink" Target="http://services.igi-global.com/resolvedoi/resolve.aspx?doi=10.4018/978-1-46668-183-5" TargetMode="External"/><Relationship Id="rId2" Type="http://schemas.openxmlformats.org/officeDocument/2006/relationships/hyperlink" Target="http://services.igi-global.com/resolvedoi/resolve.aspx?doi=10.4018/978-1-46666-202-5" TargetMode="External"/><Relationship Id="rId29" Type="http://schemas.openxmlformats.org/officeDocument/2006/relationships/hyperlink" Target="http://services.igi-global.com/resolvedoi/resolve.aspx?doi=10.4018/978-1-46668-170-5" TargetMode="External"/><Relationship Id="rId24" Type="http://schemas.openxmlformats.org/officeDocument/2006/relationships/hyperlink" Target="http://services.igi-global.com/resolvedoi/resolve.aspx?doi=10.4018/978-1-46666-551-4" TargetMode="External"/><Relationship Id="rId40" Type="http://schemas.openxmlformats.org/officeDocument/2006/relationships/hyperlink" Target="http://services.igi-global.com/resolvedoi/resolve.aspx?doi=10.4018/978-1-46669-649-5" TargetMode="External"/><Relationship Id="rId45" Type="http://schemas.openxmlformats.org/officeDocument/2006/relationships/hyperlink" Target="http://services.igi-global.com/resolvedoi/resolve.aspx?doi=10.4018/978-1-46668-559-8" TargetMode="External"/><Relationship Id="rId66" Type="http://schemas.openxmlformats.org/officeDocument/2006/relationships/hyperlink" Target="http://services.igi-global.com/resolvedoi/resolve.aspx?doi=10.4018/978-1-46669-672-3" TargetMode="External"/><Relationship Id="rId87" Type="http://schemas.openxmlformats.org/officeDocument/2006/relationships/hyperlink" Target="http://services.igi-global.com/resolvedoi/resolve.aspx?doi=10.4018/978-1-46668-642-7" TargetMode="External"/><Relationship Id="rId110" Type="http://schemas.openxmlformats.org/officeDocument/2006/relationships/hyperlink" Target="http://services.igi-global.com/resolvedoi/resolve.aspx?doi=10.4018/978-1-4666-8487-4" TargetMode="External"/><Relationship Id="rId115" Type="http://schemas.openxmlformats.org/officeDocument/2006/relationships/hyperlink" Target="http://services.igi-global.com/resolvedoi/resolve.aspx?doi=10.4018/978-1-4666-9533-7" TargetMode="External"/><Relationship Id="rId61" Type="http://schemas.openxmlformats.org/officeDocument/2006/relationships/hyperlink" Target="http://services.igi-global.com/resolvedoi/resolve.aspx?doi=10.4018/978-1-46669-658-7" TargetMode="External"/><Relationship Id="rId82" Type="http://schemas.openxmlformats.org/officeDocument/2006/relationships/hyperlink" Target="http://services.igi-global.com/resolvedoi/resolve.aspx?doi=10.4018/978-1-46668-838-4" TargetMode="External"/><Relationship Id="rId19" Type="http://schemas.openxmlformats.org/officeDocument/2006/relationships/hyperlink" Target="http://services.igi-global.com/resolvedoi/resolve.aspx?doi=10.4018/978-1-46668-598-7" TargetMode="External"/><Relationship Id="rId14" Type="http://schemas.openxmlformats.org/officeDocument/2006/relationships/hyperlink" Target="http://services.igi-global.com/resolvedoi/resolve.aspx?doi=10.4018/978-1-46665-162-3" TargetMode="External"/><Relationship Id="rId30" Type="http://schemas.openxmlformats.org/officeDocument/2006/relationships/hyperlink" Target="http://services.igi-global.com/resolvedoi/resolve.aspx?doi=10.4018/978-1-52250-143-5" TargetMode="External"/><Relationship Id="rId35" Type="http://schemas.openxmlformats.org/officeDocument/2006/relationships/hyperlink" Target="http://services.igi-global.com/resolvedoi/resolve.aspx?doi=10.4018/978-1-46668-748-6" TargetMode="External"/><Relationship Id="rId56" Type="http://schemas.openxmlformats.org/officeDocument/2006/relationships/hyperlink" Target="http://services.igi-global.com/resolvedoi/resolve.aspx?doi=10.4018/978-1-46669-432-3" TargetMode="External"/><Relationship Id="rId77" Type="http://schemas.openxmlformats.org/officeDocument/2006/relationships/hyperlink" Target="http://services.igi-global.com/resolvedoi/resolve.aspx?doi=10.4018/978-1-46669-983-0" TargetMode="External"/><Relationship Id="rId100" Type="http://schemas.openxmlformats.org/officeDocument/2006/relationships/hyperlink" Target="http://services.igi-global.com/resolvedoi/resolve.aspx?doi=10.4018/978-1-46667-461-5" TargetMode="External"/><Relationship Id="rId105" Type="http://schemas.openxmlformats.org/officeDocument/2006/relationships/hyperlink" Target="http://services.igi-global.com/resolvedoi/resolve.aspx?doi=10.4018/978-1-46660-963-1" TargetMode="External"/><Relationship Id="rId126" Type="http://schemas.openxmlformats.org/officeDocument/2006/relationships/hyperlink" Target="http://services.igi-global.com/resolvedoi/resolve.aspx?doi=10.4018/978-1-4666-8648-9" TargetMode="External"/><Relationship Id="rId8" Type="http://schemas.openxmlformats.org/officeDocument/2006/relationships/hyperlink" Target="http://services.igi-global.com/resolvedoi/resolve.aspx?doi=10.4018/978-1-46669-776-8" TargetMode="External"/><Relationship Id="rId51" Type="http://schemas.openxmlformats.org/officeDocument/2006/relationships/hyperlink" Target="http://services.igi-global.com/resolvedoi/resolve.aspx?doi=10.4018/978-1-46668-116-3" TargetMode="External"/><Relationship Id="rId72" Type="http://schemas.openxmlformats.org/officeDocument/2006/relationships/hyperlink" Target="http://services.igi-global.com/resolvedoi/resolve.aspx?doi=10.4018/978-1-46669-435-4" TargetMode="External"/><Relationship Id="rId93" Type="http://schemas.openxmlformats.org/officeDocument/2006/relationships/hyperlink" Target="http://services.igi-global.com/resolvedoi/resolve.aspx?doi=10.4018/978-1-46668-310-5" TargetMode="External"/><Relationship Id="rId98" Type="http://schemas.openxmlformats.org/officeDocument/2006/relationships/hyperlink" Target="http://services.igi-global.com/resolvedoi/resolve.aspx?doi=10.4018/978-1-46668-764-6" TargetMode="External"/><Relationship Id="rId121" Type="http://schemas.openxmlformats.org/officeDocument/2006/relationships/hyperlink" Target="http://services.igi-global.com/resolvedoi/resolve.aspx?doi=10.4018/978-1-5225-0120-6" TargetMode="External"/><Relationship Id="rId3" Type="http://schemas.openxmlformats.org/officeDocument/2006/relationships/hyperlink" Target="http://services.igi-global.com/resolvedoi/resolve.aspx?doi=10.4018/978-1-46668-745-5" TargetMode="External"/><Relationship Id="rId25" Type="http://schemas.openxmlformats.org/officeDocument/2006/relationships/hyperlink" Target="http://services.igi-global.com/resolvedoi/resolve.aspx?doi=10.4018/978-1-46668-606-9" TargetMode="External"/><Relationship Id="rId46" Type="http://schemas.openxmlformats.org/officeDocument/2006/relationships/hyperlink" Target="http://services.igi-global.com/resolvedoi/resolve.aspx?doi=10.4018/978-1-46665-055-8" TargetMode="External"/><Relationship Id="rId67" Type="http://schemas.openxmlformats.org/officeDocument/2006/relationships/hyperlink" Target="http://services.igi-global.com/resolvedoi/resolve.aspx?doi=10.4018/978-1-46668-679-3" TargetMode="External"/><Relationship Id="rId116" Type="http://schemas.openxmlformats.org/officeDocument/2006/relationships/hyperlink" Target="http://services.igi-global.com/resolvedoi/resolve.aspx?doi=10.4018/978-1-4666-6347-3" TargetMode="External"/><Relationship Id="rId20" Type="http://schemas.openxmlformats.org/officeDocument/2006/relationships/hyperlink" Target="http://services.igi-global.com/resolvedoi/resolve.aspx?doi=10.4018/978-1-46668-624-3" TargetMode="External"/><Relationship Id="rId41" Type="http://schemas.openxmlformats.org/officeDocument/2006/relationships/hyperlink" Target="http://services.igi-global.com/resolvedoi/resolve.aspx?doi=10.4018/978-1-46665-876-9" TargetMode="External"/><Relationship Id="rId62" Type="http://schemas.openxmlformats.org/officeDocument/2006/relationships/hyperlink" Target="http://services.igi-global.com/resolvedoi/resolve.aspx?doi=10.4018/978-1-46668-478-2" TargetMode="External"/><Relationship Id="rId83" Type="http://schemas.openxmlformats.org/officeDocument/2006/relationships/hyperlink" Target="http://services.igi-global.com/resolvedoi/resolve.aspx?doi=10.4018/978-1-46669-811-6" TargetMode="External"/><Relationship Id="rId88" Type="http://schemas.openxmlformats.org/officeDocument/2006/relationships/hyperlink" Target="http://services.igi-global.com/resolvedoi/resolve.aspx?doi=10.4018/978-1-46669-746-1" TargetMode="External"/><Relationship Id="rId111" Type="http://schemas.openxmlformats.org/officeDocument/2006/relationships/hyperlink" Target="http://services.igi-global.com/resolvedoi/resolve.aspx?doi=10.4018/978-1-4666-9864-2" TargetMode="External"/><Relationship Id="rId15" Type="http://schemas.openxmlformats.org/officeDocument/2006/relationships/hyperlink" Target="http://services.igi-global.com/resolvedoi/resolve.aspx?doi=10.4018/978-1-61520-917-0" TargetMode="External"/><Relationship Id="rId36" Type="http://schemas.openxmlformats.org/officeDocument/2006/relationships/hyperlink" Target="http://services.igi-global.com/resolvedoi/resolve.aspx?doi=10.4018/978-1-46669-691-4" TargetMode="External"/><Relationship Id="rId57" Type="http://schemas.openxmlformats.org/officeDocument/2006/relationships/hyperlink" Target="http://services.igi-global.com/resolvedoi/resolve.aspx?doi=10.4018/978-1-46663-000-0" TargetMode="External"/><Relationship Id="rId106" Type="http://schemas.openxmlformats.org/officeDocument/2006/relationships/hyperlink" Target="http://services.igi-global.com/resolvedoi/resolve.aspx?doi=10.4018/978-1-52250-069-8" TargetMode="External"/><Relationship Id="rId127" Type="http://schemas.openxmlformats.org/officeDocument/2006/relationships/table" Target="../tables/table6.xml"/><Relationship Id="rId10" Type="http://schemas.openxmlformats.org/officeDocument/2006/relationships/hyperlink" Target="http://services.igi-global.com/resolvedoi/resolve.aspx?doi=10.4018/978-1-46668-246-7" TargetMode="External"/><Relationship Id="rId31" Type="http://schemas.openxmlformats.org/officeDocument/2006/relationships/hyperlink" Target="http://services.igi-global.com/resolvedoi/resolve.aspx?doi=10.4018/978-1-46666-074-8" TargetMode="External"/><Relationship Id="rId52" Type="http://schemas.openxmlformats.org/officeDocument/2006/relationships/hyperlink" Target="http://services.igi-global.com/resolvedoi/resolve.aspx?doi=10.4018/978-1-46669-961-8" TargetMode="External"/><Relationship Id="rId73" Type="http://schemas.openxmlformats.org/officeDocument/2006/relationships/hyperlink" Target="http://services.igi-global.com/resolvedoi/resolve.aspx?doi=10.4018/978-1-46668-580-2" TargetMode="External"/><Relationship Id="rId78" Type="http://schemas.openxmlformats.org/officeDocument/2006/relationships/hyperlink" Target="http://services.igi-global.com/resolvedoi/resolve.aspx?doi=10.4018/978-1-52250-153-4" TargetMode="External"/><Relationship Id="rId94" Type="http://schemas.openxmlformats.org/officeDocument/2006/relationships/hyperlink" Target="http://services.igi-global.com/resolvedoi/resolve.aspx?doi=10.4018/978-1-46668-723-3" TargetMode="External"/><Relationship Id="rId99" Type="http://schemas.openxmlformats.org/officeDocument/2006/relationships/hyperlink" Target="http://services.igi-global.com/resolvedoi/resolve.aspx?doi=10.4018/978-1-46668-737-0" TargetMode="External"/><Relationship Id="rId101" Type="http://schemas.openxmlformats.org/officeDocument/2006/relationships/hyperlink" Target="http://services.igi-global.com/resolvedoi/resolve.aspx?doi=10.4018/978-1-52250-066-7" TargetMode="External"/><Relationship Id="rId122" Type="http://schemas.openxmlformats.org/officeDocument/2006/relationships/hyperlink" Target="http://services.igi-global.com/resolvedoi/resolve.aspx?doi=10.4018/978-1-4666-6501-9" TargetMode="External"/><Relationship Id="rId4" Type="http://schemas.openxmlformats.org/officeDocument/2006/relationships/hyperlink" Target="http://services.igi-global.com/resolvedoi/resolve.aspx?doi=10.4018/978-1-46666-242-1" TargetMode="External"/><Relationship Id="rId9" Type="http://schemas.openxmlformats.org/officeDocument/2006/relationships/hyperlink" Target="http://services.igi-global.com/resolvedoi/resolve.aspx?doi=10.4018/978-1-46664-928-6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services.igi-global.com/resolvedoi/resolve.aspx?doi=10.4018/978-1-4666-9629-7" TargetMode="External"/><Relationship Id="rId13" Type="http://schemas.openxmlformats.org/officeDocument/2006/relationships/hyperlink" Target="http://services.igi-global.com/resolvedoi/resolve.aspx?doi=10.4018/978-1-4666-9908-3" TargetMode="External"/><Relationship Id="rId3" Type="http://schemas.openxmlformats.org/officeDocument/2006/relationships/hyperlink" Target="http://services.igi-global.com/resolvedoi/resolve.aspx?doi=10.4018/978-1-5225-1680-4" TargetMode="External"/><Relationship Id="rId7" Type="http://schemas.openxmlformats.org/officeDocument/2006/relationships/hyperlink" Target="http://services.igi-global.com/resolvedoi/resolve.aspx?doi=10.4018/978-1-5225-0483-2" TargetMode="External"/><Relationship Id="rId12" Type="http://schemas.openxmlformats.org/officeDocument/2006/relationships/hyperlink" Target="http://services.igi-global.com/resolvedoi/resolve.aspx?doi=10.4018/978-1-5225-0228-9" TargetMode="External"/><Relationship Id="rId2" Type="http://schemas.openxmlformats.org/officeDocument/2006/relationships/hyperlink" Target="http://services.igi-global.com/resolvedoi/resolve.aspx?doi=10.4018/978-1-5225-2170-9" TargetMode="External"/><Relationship Id="rId16" Type="http://schemas.openxmlformats.org/officeDocument/2006/relationships/table" Target="../tables/table7.xml"/><Relationship Id="rId1" Type="http://schemas.openxmlformats.org/officeDocument/2006/relationships/hyperlink" Target="http://services.igi-global.com/resolvedoi/resolve.aspx?doi=10.4018/978-1-5225-2075-7" TargetMode="External"/><Relationship Id="rId6" Type="http://schemas.openxmlformats.org/officeDocument/2006/relationships/hyperlink" Target="http://services.igi-global.com/resolvedoi/resolve.aspx?doi=10.4018/978-1-4666-5027-5" TargetMode="External"/><Relationship Id="rId11" Type="http://schemas.openxmlformats.org/officeDocument/2006/relationships/hyperlink" Target="http://services.igi-global.com/resolvedoi/resolve.aspx?doi=10.4018/978-1-5225-1877-8" TargetMode="External"/><Relationship Id="rId5" Type="http://schemas.openxmlformats.org/officeDocument/2006/relationships/hyperlink" Target="http://services.igi-global.com/resolvedoi/resolve.aspx?doi=10.4018/978-1-5225-0824-3" TargetMode="External"/><Relationship Id="rId15" Type="http://schemas.openxmlformats.org/officeDocument/2006/relationships/hyperlink" Target="http://services.igi-global.com/resolvedoi/resolve.aspx?doi=10.4018/978-1-4666-4554-7" TargetMode="External"/><Relationship Id="rId10" Type="http://schemas.openxmlformats.org/officeDocument/2006/relationships/hyperlink" Target="http://services.igi-global.com/resolvedoi/resolve.aspx?doi=10.4018/978-1-5225-0629-4" TargetMode="External"/><Relationship Id="rId4" Type="http://schemas.openxmlformats.org/officeDocument/2006/relationships/hyperlink" Target="http://services.igi-global.com/resolvedoi/resolve.aspx?doi=10.4018/978-1-5225-0651-5" TargetMode="External"/><Relationship Id="rId9" Type="http://schemas.openxmlformats.org/officeDocument/2006/relationships/hyperlink" Target="http://services.igi-global.com/resolvedoi/resolve.aspx?doi=10.4018/978-1-4666-4333-8" TargetMode="External"/><Relationship Id="rId14" Type="http://schemas.openxmlformats.org/officeDocument/2006/relationships/hyperlink" Target="http://services.igi-global.com/resolvedoi/resolve.aspx?doi=10.4018/978-1-4666-8673-1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://services.igi-global.com/resolvedoi/resolve.aspx?doi=10.4018/978-1-5225-8437-7" TargetMode="External"/><Relationship Id="rId21" Type="http://schemas.openxmlformats.org/officeDocument/2006/relationships/hyperlink" Target="http://services.igi-global.com/resolvedoi/resolve.aspx?doi=10.4018/978-1-5225-3137-1" TargetMode="External"/><Relationship Id="rId42" Type="http://schemas.openxmlformats.org/officeDocument/2006/relationships/hyperlink" Target="http://services.igi-global.com/resolvedoi/resolve.aspx?doi=10.4018/978-1-5225-7669-3" TargetMode="External"/><Relationship Id="rId63" Type="http://schemas.openxmlformats.org/officeDocument/2006/relationships/hyperlink" Target="http://services.igi-global.com/resolvedoi/resolve.aspx?doi=10.4018/978-1-5225-7186-5" TargetMode="External"/><Relationship Id="rId84" Type="http://schemas.openxmlformats.org/officeDocument/2006/relationships/hyperlink" Target="http://services.igi-global.com/resolvedoi/resolve.aspx?doi=10.4018/978-1-5225-7125-4" TargetMode="External"/><Relationship Id="rId138" Type="http://schemas.openxmlformats.org/officeDocument/2006/relationships/hyperlink" Target="http://services.igi-global.com/resolvedoi/resolve.aspx?doi=10.4018/978-1-5225-7326-5" TargetMode="External"/><Relationship Id="rId159" Type="http://schemas.openxmlformats.org/officeDocument/2006/relationships/hyperlink" Target="http://services.igi-global.com/resolvedoi/resolve.aspx?doi=10.4018/978-1-5225-2709-1" TargetMode="External"/><Relationship Id="rId170" Type="http://schemas.openxmlformats.org/officeDocument/2006/relationships/hyperlink" Target="http://services.igi-global.com/resolvedoi/resolve.aspx?doi=10.4018/978-1-5225-7455-2" TargetMode="External"/><Relationship Id="rId191" Type="http://schemas.openxmlformats.org/officeDocument/2006/relationships/hyperlink" Target="http://services.igi-global.com/resolvedoi/resolve.aspx?doi=10.4018/978-1-5225-7492-7" TargetMode="External"/><Relationship Id="rId205" Type="http://schemas.openxmlformats.org/officeDocument/2006/relationships/hyperlink" Target="http://services.igi-global.com/resolvedoi/resolve.aspx?doi=10.4018/978-1-5225-5751-7" TargetMode="External"/><Relationship Id="rId226" Type="http://schemas.openxmlformats.org/officeDocument/2006/relationships/hyperlink" Target="http://services.igi-global.com/resolvedoi/resolve.aspx?doi=10.4018/978-1-5225-5912-2" TargetMode="External"/><Relationship Id="rId107" Type="http://schemas.openxmlformats.org/officeDocument/2006/relationships/hyperlink" Target="http://services.igi-global.com/resolvedoi/resolve.aspx?doi=10.4018/978-1-5225-8494-0" TargetMode="External"/><Relationship Id="rId11" Type="http://schemas.openxmlformats.org/officeDocument/2006/relationships/hyperlink" Target="http://services.igi-global.com/resolvedoi/resolve.aspx?doi=10.4018/978-1-5225-6114-9" TargetMode="External"/><Relationship Id="rId32" Type="http://schemas.openxmlformats.org/officeDocument/2006/relationships/hyperlink" Target="http://services.igi-global.com/resolvedoi/resolve.aspx?doi=10.4018/978-1-5225-8516-9" TargetMode="External"/><Relationship Id="rId53" Type="http://schemas.openxmlformats.org/officeDocument/2006/relationships/hyperlink" Target="http://services.igi-global.com/resolvedoi/resolve.aspx?doi=10.4018/978-1-5225-7192-6" TargetMode="External"/><Relationship Id="rId74" Type="http://schemas.openxmlformats.org/officeDocument/2006/relationships/hyperlink" Target="http://services.igi-global.com/resolvedoi/resolve.aspx?doi=10.4018/978-1-5225-5424-0" TargetMode="External"/><Relationship Id="rId128" Type="http://schemas.openxmlformats.org/officeDocument/2006/relationships/hyperlink" Target="http://services.igi-global.com/resolvedoi/resolve.aspx?doi=10.4018/978-1-5225-5228-4" TargetMode="External"/><Relationship Id="rId149" Type="http://schemas.openxmlformats.org/officeDocument/2006/relationships/hyperlink" Target="http://services.igi-global.com/resolvedoi/resolve.aspx?doi=10.4018/978-1-4666-8513-0" TargetMode="External"/><Relationship Id="rId5" Type="http://schemas.openxmlformats.org/officeDocument/2006/relationships/hyperlink" Target="http://services.igi-global.com/resolvedoi/resolve.aspx?doi=10.4018/978-1-4666-8300-6" TargetMode="External"/><Relationship Id="rId95" Type="http://schemas.openxmlformats.org/officeDocument/2006/relationships/hyperlink" Target="http://services.igi-global.com/resolvedoi/resolve.aspx?doi=10.4018/978-1-5225-5409-7" TargetMode="External"/><Relationship Id="rId160" Type="http://schemas.openxmlformats.org/officeDocument/2006/relationships/hyperlink" Target="http://services.igi-global.com/resolvedoi/resolve.aspx?doi=10.4018/978-1-5225-7838-3" TargetMode="External"/><Relationship Id="rId181" Type="http://schemas.openxmlformats.org/officeDocument/2006/relationships/hyperlink" Target="http://services.igi-global.com/resolvedoi/resolve.aspx?doi=10.4018/978-1-5225-3790-8" TargetMode="External"/><Relationship Id="rId216" Type="http://schemas.openxmlformats.org/officeDocument/2006/relationships/hyperlink" Target="http://services.igi-global.com/resolvedoi/resolve.aspx?doi=10.4018/978-1-5225-7862-8" TargetMode="External"/><Relationship Id="rId237" Type="http://schemas.openxmlformats.org/officeDocument/2006/relationships/hyperlink" Target="http://services.igi-global.com/resolvedoi/resolve.aspx?doi=10.4018/978-1-5225-8304-2" TargetMode="External"/><Relationship Id="rId22" Type="http://schemas.openxmlformats.org/officeDocument/2006/relationships/hyperlink" Target="http://services.igi-global.com/resolvedoi/resolve.aspx?doi=10.4018/978-1-5225-5118-8" TargetMode="External"/><Relationship Id="rId43" Type="http://schemas.openxmlformats.org/officeDocument/2006/relationships/hyperlink" Target="http://services.igi-global.com/resolvedoi/resolve.aspx?doi=10.4018/978-1-5225-7570-2" TargetMode="External"/><Relationship Id="rId64" Type="http://schemas.openxmlformats.org/officeDocument/2006/relationships/hyperlink" Target="http://services.igi-global.com/resolvedoi/resolve.aspx?doi=10.4018/978-1-5225-6992-3" TargetMode="External"/><Relationship Id="rId118" Type="http://schemas.openxmlformats.org/officeDocument/2006/relationships/hyperlink" Target="http://services.igi-global.com/resolvedoi/resolve.aspx?doi=10.4018/978-1-5225-8097-3" TargetMode="External"/><Relationship Id="rId139" Type="http://schemas.openxmlformats.org/officeDocument/2006/relationships/hyperlink" Target="http://services.igi-global.com/resolvedoi/resolve.aspx?doi=10.4018/978-1-5225-7122-3" TargetMode="External"/><Relationship Id="rId85" Type="http://schemas.openxmlformats.org/officeDocument/2006/relationships/hyperlink" Target="http://services.igi-global.com/resolvedoi/resolve.aspx?doi=10.4018/978-1-5225-4200-1" TargetMode="External"/><Relationship Id="rId150" Type="http://schemas.openxmlformats.org/officeDocument/2006/relationships/hyperlink" Target="http://services.igi-global.com/resolvedoi/resolve.aspx?doi=10.4018/978-1-5225-1776-4" TargetMode="External"/><Relationship Id="rId171" Type="http://schemas.openxmlformats.org/officeDocument/2006/relationships/hyperlink" Target="http://services.igi-global.com/resolvedoi/resolve.aspx?doi=10.4018/978-1-5225-7943-4" TargetMode="External"/><Relationship Id="rId192" Type="http://schemas.openxmlformats.org/officeDocument/2006/relationships/hyperlink" Target="http://services.igi-global.com/resolvedoi/resolve.aspx?doi=10.4018/978-1-5225-5852-1" TargetMode="External"/><Relationship Id="rId206" Type="http://schemas.openxmlformats.org/officeDocument/2006/relationships/hyperlink" Target="http://services.igi-global.com/resolvedoi/resolve.aspx?doi=10.4018/978-1-5225-5766-1" TargetMode="External"/><Relationship Id="rId227" Type="http://schemas.openxmlformats.org/officeDocument/2006/relationships/hyperlink" Target="http://services.igi-global.com/resolvedoi/resolve.aspx?doi=10.4018/978-1-5225-7921-2" TargetMode="External"/><Relationship Id="rId12" Type="http://schemas.openxmlformats.org/officeDocument/2006/relationships/hyperlink" Target="http://services.igi-global.com/resolvedoi/resolve.aspx?doi=10.4018/978-1-5225-5772-2" TargetMode="External"/><Relationship Id="rId33" Type="http://schemas.openxmlformats.org/officeDocument/2006/relationships/hyperlink" Target="http://services.igi-global.com/resolvedoi/resolve.aspx?doi=10.4018/978-1-5225-7435-4" TargetMode="External"/><Relationship Id="rId108" Type="http://schemas.openxmlformats.org/officeDocument/2006/relationships/hyperlink" Target="http://services.igi-global.com/resolvedoi/resolve.aspx?doi=10.4018/978-1-5225-8434-6" TargetMode="External"/><Relationship Id="rId129" Type="http://schemas.openxmlformats.org/officeDocument/2006/relationships/hyperlink" Target="http://services.igi-global.com/resolvedoi/resolve.aspx?doi=10.4018/978-1-4666-6146-2" TargetMode="External"/><Relationship Id="rId54" Type="http://schemas.openxmlformats.org/officeDocument/2006/relationships/hyperlink" Target="http://services.igi-global.com/resolvedoi/resolve.aspx?doi=10.4018/978-1-5225-6301-3" TargetMode="External"/><Relationship Id="rId75" Type="http://schemas.openxmlformats.org/officeDocument/2006/relationships/hyperlink" Target="http://services.igi-global.com/resolvedoi/resolve.aspx?doi=10.4018/978-1-5225-5843-9" TargetMode="External"/><Relationship Id="rId96" Type="http://schemas.openxmlformats.org/officeDocument/2006/relationships/hyperlink" Target="http://services.igi-global.com/resolvedoi/resolve.aspx?doi=10.4018/978-1-5225-5763-0" TargetMode="External"/><Relationship Id="rId140" Type="http://schemas.openxmlformats.org/officeDocument/2006/relationships/hyperlink" Target="http://services.igi-global.com/resolvedoi/resolve.aspx?doi=10.4018/978-1-5225-7039-4" TargetMode="External"/><Relationship Id="rId161" Type="http://schemas.openxmlformats.org/officeDocument/2006/relationships/hyperlink" Target="http://services.igi-global.com/resolvedoi/resolve.aspx?doi=10.4018/978-1-5225-8176-5" TargetMode="External"/><Relationship Id="rId182" Type="http://schemas.openxmlformats.org/officeDocument/2006/relationships/hyperlink" Target="http://services.igi-global.com/resolvedoi/resolve.aspx?doi=10.4018/978-1-5225-5445-5" TargetMode="External"/><Relationship Id="rId217" Type="http://schemas.openxmlformats.org/officeDocument/2006/relationships/hyperlink" Target="http://services.igi-global.com/resolvedoi/resolve.aspx?doi=10.4018/978-1-5225-7359-3" TargetMode="External"/><Relationship Id="rId6" Type="http://schemas.openxmlformats.org/officeDocument/2006/relationships/hyperlink" Target="http://services.igi-global.com/resolvedoi/resolve.aspx?doi=10.4018/978-1-4666-6607-8" TargetMode="External"/><Relationship Id="rId238" Type="http://schemas.openxmlformats.org/officeDocument/2006/relationships/hyperlink" Target="http://services.igi-global.com/resolvedoi/resolve.aspx?doi=10.4018/978-1-5225-8389-9" TargetMode="External"/><Relationship Id="rId23" Type="http://schemas.openxmlformats.org/officeDocument/2006/relationships/hyperlink" Target="http://services.igi-global.com/resolvedoi/resolve.aspx?doi=10.4018/978-1-5225-5103-4" TargetMode="External"/><Relationship Id="rId119" Type="http://schemas.openxmlformats.org/officeDocument/2006/relationships/hyperlink" Target="http://services.igi-global.com/resolvedoi/resolve.aspx?doi=10.4018/978-1-5225-7256-5" TargetMode="External"/><Relationship Id="rId44" Type="http://schemas.openxmlformats.org/officeDocument/2006/relationships/hyperlink" Target="http://services.igi-global.com/resolvedoi/resolve.aspx?doi=10.4018/978-1-5225-8069-0" TargetMode="External"/><Relationship Id="rId65" Type="http://schemas.openxmlformats.org/officeDocument/2006/relationships/hyperlink" Target="http://services.igi-global.com/resolvedoi/resolve.aspx?doi=10.4018/978-1-5225-5846-0" TargetMode="External"/><Relationship Id="rId86" Type="http://schemas.openxmlformats.org/officeDocument/2006/relationships/hyperlink" Target="http://services.igi-global.com/resolvedoi/resolve.aspx?doi=10.4018/978-1-5225-5387-8" TargetMode="External"/><Relationship Id="rId130" Type="http://schemas.openxmlformats.org/officeDocument/2006/relationships/hyperlink" Target="http://services.igi-global.com/resolvedoi/resolve.aspx?doi=10.4018/978-1-5225-2262-1" TargetMode="External"/><Relationship Id="rId151" Type="http://schemas.openxmlformats.org/officeDocument/2006/relationships/hyperlink" Target="http://services.igi-global.com/resolvedoi/resolve.aspx?doi=10.4018/978-1-5225-0808-3" TargetMode="External"/><Relationship Id="rId172" Type="http://schemas.openxmlformats.org/officeDocument/2006/relationships/hyperlink" Target="http://services.igi-global.com/resolvedoi/resolve.aspx?doi=10.4018/978-1-5225-3182-1" TargetMode="External"/><Relationship Id="rId193" Type="http://schemas.openxmlformats.org/officeDocument/2006/relationships/hyperlink" Target="http://services.igi-global.com/resolvedoi/resolve.aspx?doi=10.4018/978-1-5225-7368-5" TargetMode="External"/><Relationship Id="rId207" Type="http://schemas.openxmlformats.org/officeDocument/2006/relationships/hyperlink" Target="http://services.igi-global.com/resolvedoi/resolve.aspx?doi=10.4018/978-1-5225-6968-8" TargetMode="External"/><Relationship Id="rId228" Type="http://schemas.openxmlformats.org/officeDocument/2006/relationships/hyperlink" Target="http://services.igi-global.com/resolvedoi/resolve.aspx?doi=10.4018/978-1-5225-8085-0" TargetMode="External"/><Relationship Id="rId13" Type="http://schemas.openxmlformats.org/officeDocument/2006/relationships/hyperlink" Target="http://services.igi-global.com/resolvedoi/resolve.aspx?doi=10.4018/978-1-5225-5966-5" TargetMode="External"/><Relationship Id="rId109" Type="http://schemas.openxmlformats.org/officeDocument/2006/relationships/hyperlink" Target="http://services.igi-global.com/resolvedoi/resolve.aspx?doi=10.4018/978-1-5225-8298-4" TargetMode="External"/><Relationship Id="rId34" Type="http://schemas.openxmlformats.org/officeDocument/2006/relationships/hyperlink" Target="http://services.igi-global.com/resolvedoi/resolve.aspx?doi=10.4018/978-1-5225-8079-9" TargetMode="External"/><Relationship Id="rId55" Type="http://schemas.openxmlformats.org/officeDocument/2006/relationships/hyperlink" Target="http://services.igi-global.com/resolvedoi/resolve.aspx?doi=10.4018/978-1-5225-7077-6" TargetMode="External"/><Relationship Id="rId76" Type="http://schemas.openxmlformats.org/officeDocument/2006/relationships/hyperlink" Target="http://services.igi-global.com/resolvedoi/resolve.aspx?doi=10.4018/978-1-5225-5981-8" TargetMode="External"/><Relationship Id="rId97" Type="http://schemas.openxmlformats.org/officeDocument/2006/relationships/hyperlink" Target="http://services.igi-global.com/resolvedoi/resolve.aspx?doi=10.4018/978-1-5225-5586-5" TargetMode="External"/><Relationship Id="rId120" Type="http://schemas.openxmlformats.org/officeDocument/2006/relationships/hyperlink" Target="http://services.igi-global.com/resolvedoi/resolve.aspx?doi=10.4018/978-1-5225-7615-0" TargetMode="External"/><Relationship Id="rId141" Type="http://schemas.openxmlformats.org/officeDocument/2006/relationships/hyperlink" Target="http://services.igi-global.com/resolvedoi/resolve.aspx?doi=10.4018/978-1-5225-5876-7" TargetMode="External"/><Relationship Id="rId7" Type="http://schemas.openxmlformats.org/officeDocument/2006/relationships/hyperlink" Target="http://services.igi-global.com/resolvedoi/resolve.aspx?doi=10.4018/978-1-5225-0267-8" TargetMode="External"/><Relationship Id="rId162" Type="http://schemas.openxmlformats.org/officeDocument/2006/relationships/hyperlink" Target="http://services.igi-global.com/resolvedoi/resolve.aspx?doi=10.4018/978-1-5225-7432-3" TargetMode="External"/><Relationship Id="rId183" Type="http://schemas.openxmlformats.org/officeDocument/2006/relationships/hyperlink" Target="http://services.igi-global.com/resolvedoi/resolve.aspx?doi=10.4018/978-1-5225-5855-2" TargetMode="External"/><Relationship Id="rId218" Type="http://schemas.openxmlformats.org/officeDocument/2006/relationships/hyperlink" Target="http://services.igi-global.com/resolvedoi/resolve.aspx?doi=10.4018/978-1-5225-7879-6" TargetMode="External"/><Relationship Id="rId239" Type="http://schemas.openxmlformats.org/officeDocument/2006/relationships/table" Target="../tables/table9.xml"/><Relationship Id="rId24" Type="http://schemas.openxmlformats.org/officeDocument/2006/relationships/hyperlink" Target="http://services.igi-global.com/resolvedoi/resolve.aspx?doi=10.4018/978-1-5225-3120-3" TargetMode="External"/><Relationship Id="rId45" Type="http://schemas.openxmlformats.org/officeDocument/2006/relationships/hyperlink" Target="http://services.igi-global.com/resolvedoi/resolve.aspx?doi=10.4018/978-1-5225-7286-2" TargetMode="External"/><Relationship Id="rId66" Type="http://schemas.openxmlformats.org/officeDocument/2006/relationships/hyperlink" Target="http://services.igi-global.com/resolvedoi/resolve.aspx?doi=10.4018/978-1-5225-7146-9" TargetMode="External"/><Relationship Id="rId87" Type="http://schemas.openxmlformats.org/officeDocument/2006/relationships/hyperlink" Target="http://services.igi-global.com/resolvedoi/resolve.aspx?doi=10.4018/978-1-5225-5442-4" TargetMode="External"/><Relationship Id="rId110" Type="http://schemas.openxmlformats.org/officeDocument/2006/relationships/hyperlink" Target="http://services.igi-global.com/resolvedoi/resolve.aspx?doi=10.4018/978-1-5225-7531-3" TargetMode="External"/><Relationship Id="rId131" Type="http://schemas.openxmlformats.org/officeDocument/2006/relationships/hyperlink" Target="http://services.igi-global.com/resolvedoi/resolve.aspx?doi=10.4018/978-1-5225-5036-5" TargetMode="External"/><Relationship Id="rId152" Type="http://schemas.openxmlformats.org/officeDocument/2006/relationships/hyperlink" Target="http://services.igi-global.com/resolvedoi/resolve.aspx?doi=10.4018/978-1-5225-0714-7" TargetMode="External"/><Relationship Id="rId173" Type="http://schemas.openxmlformats.org/officeDocument/2006/relationships/hyperlink" Target="http://services.igi-global.com/resolvedoi/resolve.aspx?doi=10.4018/978-1-5225-5793-7" TargetMode="External"/><Relationship Id="rId194" Type="http://schemas.openxmlformats.org/officeDocument/2006/relationships/hyperlink" Target="http://services.igi-global.com/resolvedoi/resolve.aspx?doi=10.4018/978-1-5225-5864-4" TargetMode="External"/><Relationship Id="rId208" Type="http://schemas.openxmlformats.org/officeDocument/2006/relationships/hyperlink" Target="http://services.igi-global.com/resolvedoi/resolve.aspx?doi=10.4018/978-1-5225-5693-0" TargetMode="External"/><Relationship Id="rId229" Type="http://schemas.openxmlformats.org/officeDocument/2006/relationships/hyperlink" Target="http://services.igi-global.com/resolvedoi/resolve.aspx?doi=10.4018/978-1-5225-7302-9" TargetMode="External"/><Relationship Id="rId14" Type="http://schemas.openxmlformats.org/officeDocument/2006/relationships/hyperlink" Target="http://services.igi-global.com/resolvedoi/resolve.aspx?doi=10.4018/978-1-5225-3451-8" TargetMode="External"/><Relationship Id="rId35" Type="http://schemas.openxmlformats.org/officeDocument/2006/relationships/hyperlink" Target="http://services.igi-global.com/resolvedoi/resolve.aspx?doi=10.4018/978-1-5225-8163-5" TargetMode="External"/><Relationship Id="rId56" Type="http://schemas.openxmlformats.org/officeDocument/2006/relationships/hyperlink" Target="http://services.igi-global.com/resolvedoi/resolve.aspx?doi=10.4018/978-1-5225-7619-8" TargetMode="External"/><Relationship Id="rId77" Type="http://schemas.openxmlformats.org/officeDocument/2006/relationships/hyperlink" Target="http://services.igi-global.com/resolvedoi/resolve.aspx?doi=10.4018/978-1-5225-6064-7" TargetMode="External"/><Relationship Id="rId100" Type="http://schemas.openxmlformats.org/officeDocument/2006/relationships/hyperlink" Target="http://services.igi-global.com/resolvedoi/resolve.aspx?doi=10.4018/978-1-5225-5930-6" TargetMode="External"/><Relationship Id="rId8" Type="http://schemas.openxmlformats.org/officeDocument/2006/relationships/hyperlink" Target="http://services.igi-global.com/resolvedoi/resolve.aspx?doi=10.4018/978-1-5225-2234-8" TargetMode="External"/><Relationship Id="rId98" Type="http://schemas.openxmlformats.org/officeDocument/2006/relationships/hyperlink" Target="http://services.igi-global.com/resolvedoi/resolve.aspx?doi=10.4018/978-1-5225-6026-5" TargetMode="External"/><Relationship Id="rId121" Type="http://schemas.openxmlformats.org/officeDocument/2006/relationships/hyperlink" Target="http://services.igi-global.com/resolvedoi/resolve.aspx?doi=10.4018/978-1-5225-8125-3" TargetMode="External"/><Relationship Id="rId142" Type="http://schemas.openxmlformats.org/officeDocument/2006/relationships/hyperlink" Target="http://services.igi-global.com/resolvedoi/resolve.aspx?doi=10.4018/978-1-5225-5909-2" TargetMode="External"/><Relationship Id="rId163" Type="http://schemas.openxmlformats.org/officeDocument/2006/relationships/hyperlink" Target="http://services.igi-global.com/resolvedoi/resolve.aspx?doi=10.4018/978-1-5225-7924-3" TargetMode="External"/><Relationship Id="rId184" Type="http://schemas.openxmlformats.org/officeDocument/2006/relationships/hyperlink" Target="http://services.igi-global.com/resolvedoi/resolve.aspx?doi=10.4018/978-1-5225-7059-2" TargetMode="External"/><Relationship Id="rId219" Type="http://schemas.openxmlformats.org/officeDocument/2006/relationships/hyperlink" Target="http://services.igi-global.com/resolvedoi/resolve.aspx?doi=10.4018/978-1-5225-7882-6" TargetMode="External"/><Relationship Id="rId230" Type="http://schemas.openxmlformats.org/officeDocument/2006/relationships/hyperlink" Target="http://services.igi-global.com/resolvedoi/resolve.aspx?doi=10.4018/978-1-5225-7706-5" TargetMode="External"/><Relationship Id="rId25" Type="http://schemas.openxmlformats.org/officeDocument/2006/relationships/hyperlink" Target="http://services.igi-global.com/resolvedoi/resolve.aspx?doi=10.4018/978-1-5225-3168-5" TargetMode="External"/><Relationship Id="rId46" Type="http://schemas.openxmlformats.org/officeDocument/2006/relationships/hyperlink" Target="http://services.igi-global.com/resolvedoi/resolve.aspx?doi=10.4018/978-1-5225-7390-6" TargetMode="External"/><Relationship Id="rId67" Type="http://schemas.openxmlformats.org/officeDocument/2006/relationships/hyperlink" Target="http://services.igi-global.com/resolvedoi/resolve.aspx?doi=10.4018/978-1-5225-5231-4" TargetMode="External"/><Relationship Id="rId88" Type="http://schemas.openxmlformats.org/officeDocument/2006/relationships/hyperlink" Target="http://services.igi-global.com/resolvedoi/resolve.aspx?doi=10.4018/978-1-5225-5712-8" TargetMode="External"/><Relationship Id="rId111" Type="http://schemas.openxmlformats.org/officeDocument/2006/relationships/hyperlink" Target="http://services.igi-global.com/resolvedoi/resolve.aspx?doi=10.4018/978-1-5225-8042-3" TargetMode="External"/><Relationship Id="rId132" Type="http://schemas.openxmlformats.org/officeDocument/2006/relationships/hyperlink" Target="http://services.igi-global.com/resolvedoi/resolve.aspx?doi=10.4018/978-1-5225-5640-4" TargetMode="External"/><Relationship Id="rId153" Type="http://schemas.openxmlformats.org/officeDocument/2006/relationships/hyperlink" Target="http://services.igi-global.com/resolvedoi/resolve.aspx?doi=10.4018/978-1-5225-5396-0" TargetMode="External"/><Relationship Id="rId174" Type="http://schemas.openxmlformats.org/officeDocument/2006/relationships/hyperlink" Target="http://services.igi-global.com/resolvedoi/resolve.aspx?doi=10.4018/978-1-5225-6210-8" TargetMode="External"/><Relationship Id="rId195" Type="http://schemas.openxmlformats.org/officeDocument/2006/relationships/hyperlink" Target="http://services.igi-global.com/resolvedoi/resolve.aspx?doi=10.4018/978-1-5225-5276-5" TargetMode="External"/><Relationship Id="rId209" Type="http://schemas.openxmlformats.org/officeDocument/2006/relationships/hyperlink" Target="http://services.igi-global.com/resolvedoi/resolve.aspx?doi=10.4018/978-1-5225-5754-8" TargetMode="External"/><Relationship Id="rId190" Type="http://schemas.openxmlformats.org/officeDocument/2006/relationships/hyperlink" Target="http://services.igi-global.com/resolvedoi/resolve.aspx?doi=10.4018/978-1-5225-7539-9" TargetMode="External"/><Relationship Id="rId204" Type="http://schemas.openxmlformats.org/officeDocument/2006/relationships/hyperlink" Target="http://services.igi-global.com/resolvedoi/resolve.aspx?doi=10.4018/978-1-5225-6948-0" TargetMode="External"/><Relationship Id="rId220" Type="http://schemas.openxmlformats.org/officeDocument/2006/relationships/hyperlink" Target="http://services.igi-global.com/resolvedoi/resolve.aspx?doi=10.4018/978-1-5225-7927-4" TargetMode="External"/><Relationship Id="rId225" Type="http://schemas.openxmlformats.org/officeDocument/2006/relationships/hyperlink" Target="http://services.igi-global.com/resolvedoi/resolve.aspx?doi=10.4018/978-1-5225-8973-0" TargetMode="External"/><Relationship Id="rId15" Type="http://schemas.openxmlformats.org/officeDocument/2006/relationships/hyperlink" Target="http://services.igi-global.com/resolvedoi/resolve.aspx?doi=10.4018/978-1-5225-5167-6" TargetMode="External"/><Relationship Id="rId36" Type="http://schemas.openxmlformats.org/officeDocument/2006/relationships/hyperlink" Target="http://services.igi-global.com/resolvedoi/resolve.aspx?doi=10.4018/978-1-5225-3398-6" TargetMode="External"/><Relationship Id="rId57" Type="http://schemas.openxmlformats.org/officeDocument/2006/relationships/hyperlink" Target="http://services.igi-global.com/resolvedoi/resolve.aspx?doi=10.4018/978-1-5225-7609-9" TargetMode="External"/><Relationship Id="rId106" Type="http://schemas.openxmlformats.org/officeDocument/2006/relationships/hyperlink" Target="http://services.igi-global.com/resolvedoi/resolve.aspx?doi=10.4018/978-1-5225-8395-0" TargetMode="External"/><Relationship Id="rId127" Type="http://schemas.openxmlformats.org/officeDocument/2006/relationships/hyperlink" Target="http://services.igi-global.com/resolvedoi/resolve.aspx?doi=10.4018/978-1-5225-8455-1" TargetMode="External"/><Relationship Id="rId10" Type="http://schemas.openxmlformats.org/officeDocument/2006/relationships/hyperlink" Target="http://services.igi-global.com/resolvedoi/resolve.aspx?doi=10.4018/978-1-5225-0746-8" TargetMode="External"/><Relationship Id="rId31" Type="http://schemas.openxmlformats.org/officeDocument/2006/relationships/hyperlink" Target="http://services.igi-global.com/resolvedoi/resolve.aspx?doi=10.4018/978-1-5225-7712-6" TargetMode="External"/><Relationship Id="rId52" Type="http://schemas.openxmlformats.org/officeDocument/2006/relationships/hyperlink" Target="http://services.igi-global.com/resolvedoi/resolve.aspx?doi=10.4018/978-1-5225-7891-8" TargetMode="External"/><Relationship Id="rId73" Type="http://schemas.openxmlformats.org/officeDocument/2006/relationships/hyperlink" Target="http://services.igi-global.com/resolvedoi/resolve.aspx?doi=10.4018/978-1-5225-6951-0" TargetMode="External"/><Relationship Id="rId78" Type="http://schemas.openxmlformats.org/officeDocument/2006/relationships/hyperlink" Target="http://services.igi-global.com/resolvedoi/resolve.aspx?doi=10.4018/978-1-5225-7036-3" TargetMode="External"/><Relationship Id="rId94" Type="http://schemas.openxmlformats.org/officeDocument/2006/relationships/hyperlink" Target="http://services.igi-global.com/resolvedoi/resolve.aspx?doi=10.4018/978-1-5225-4168-4" TargetMode="External"/><Relationship Id="rId99" Type="http://schemas.openxmlformats.org/officeDocument/2006/relationships/hyperlink" Target="http://services.igi-global.com/resolvedoi/resolve.aspx?doi=10.4018/978-1-5225-3534-8" TargetMode="External"/><Relationship Id="rId101" Type="http://schemas.openxmlformats.org/officeDocument/2006/relationships/hyperlink" Target="http://services.igi-global.com/resolvedoi/resolve.aspx?doi=10.4018/978-1-5225-6201-6" TargetMode="External"/><Relationship Id="rId122" Type="http://schemas.openxmlformats.org/officeDocument/2006/relationships/hyperlink" Target="http://services.igi-global.com/resolvedoi/resolve.aspx?doi=10.4018/978-1-5225-8217-5" TargetMode="External"/><Relationship Id="rId143" Type="http://schemas.openxmlformats.org/officeDocument/2006/relationships/hyperlink" Target="http://services.igi-global.com/resolvedoi/resolve.aspx?doi=10.4018/978-1-5225-3267-5" TargetMode="External"/><Relationship Id="rId148" Type="http://schemas.openxmlformats.org/officeDocument/2006/relationships/hyperlink" Target="http://services.igi-global.com/resolvedoi/resolve.aspx?doi=10.4018/978-1-4666-6158-5" TargetMode="External"/><Relationship Id="rId164" Type="http://schemas.openxmlformats.org/officeDocument/2006/relationships/hyperlink" Target="http://services.igi-global.com/resolvedoi/resolve.aspx?doi=10.4018/978-1-5225-7353-1" TargetMode="External"/><Relationship Id="rId169" Type="http://schemas.openxmlformats.org/officeDocument/2006/relationships/hyperlink" Target="http://services.igi-global.com/resolvedoi/resolve.aspx?doi=10.4018/978-1-5225-7138-4" TargetMode="External"/><Relationship Id="rId185" Type="http://schemas.openxmlformats.org/officeDocument/2006/relationships/hyperlink" Target="http://services.igi-global.com/resolvedoi/resolve.aspx?doi=10.4018/978-1-5225-7271-8" TargetMode="External"/><Relationship Id="rId4" Type="http://schemas.openxmlformats.org/officeDocument/2006/relationships/hyperlink" Target="http://services.igi-global.com/resolvedoi/resolve.aspx?doi=10.4018/978-1-4666-8705-9" TargetMode="External"/><Relationship Id="rId9" Type="http://schemas.openxmlformats.org/officeDocument/2006/relationships/hyperlink" Target="http://services.igi-global.com/resolvedoi/resolve.aspx?doi=10.4018/978-1-5225-1674-3" TargetMode="External"/><Relationship Id="rId180" Type="http://schemas.openxmlformats.org/officeDocument/2006/relationships/hyperlink" Target="http://services.igi-global.com/resolvedoi/resolve.aspx?doi=10.4018/978-1-5225-7727-0" TargetMode="External"/><Relationship Id="rId210" Type="http://schemas.openxmlformats.org/officeDocument/2006/relationships/hyperlink" Target="http://services.igi-global.com/resolvedoi/resolve.aspx?doi=10.4018/978-1-5225-7958-8" TargetMode="External"/><Relationship Id="rId215" Type="http://schemas.openxmlformats.org/officeDocument/2006/relationships/hyperlink" Target="http://services.igi-global.com/resolvedoi/resolve.aspx?doi=10.4018/978-1-5225-7811-6" TargetMode="External"/><Relationship Id="rId236" Type="http://schemas.openxmlformats.org/officeDocument/2006/relationships/hyperlink" Target="http://services.igi-global.com/resolvedoi/resolve.aspx?doi=10.4018/978-1-5225-8241-0" TargetMode="External"/><Relationship Id="rId26" Type="http://schemas.openxmlformats.org/officeDocument/2006/relationships/hyperlink" Target="http://services.igi-global.com/resolvedoi/resolve.aspx?doi=10.4018/978-1-5225-2653-7" TargetMode="External"/><Relationship Id="rId231" Type="http://schemas.openxmlformats.org/officeDocument/2006/relationships/hyperlink" Target="http://services.igi-global.com/resolvedoi/resolve.aspx?doi=10.4018/978-1-5225-7894-9" TargetMode="External"/><Relationship Id="rId47" Type="http://schemas.openxmlformats.org/officeDocument/2006/relationships/hyperlink" Target="http://services.igi-global.com/resolvedoi/resolve.aspx?doi=10.4018/978-1-5225-7696-9" TargetMode="External"/><Relationship Id="rId68" Type="http://schemas.openxmlformats.org/officeDocument/2006/relationships/hyperlink" Target="http://services.igi-global.com/resolvedoi/resolve.aspx?doi=10.4018/978-1-5225-5541-4" TargetMode="External"/><Relationship Id="rId89" Type="http://schemas.openxmlformats.org/officeDocument/2006/relationships/hyperlink" Target="http://services.igi-global.com/resolvedoi/resolve.aspx?doi=10.4018/978-1-5225-5787-6" TargetMode="External"/><Relationship Id="rId112" Type="http://schemas.openxmlformats.org/officeDocument/2006/relationships/hyperlink" Target="http://services.igi-global.com/resolvedoi/resolve.aspx?doi=10.4018/978-1-5225-8128-4" TargetMode="External"/><Relationship Id="rId133" Type="http://schemas.openxmlformats.org/officeDocument/2006/relationships/hyperlink" Target="http://services.igi-global.com/resolvedoi/resolve.aspx?doi=10.4018/978-1-5225-8063-8" TargetMode="External"/><Relationship Id="rId154" Type="http://schemas.openxmlformats.org/officeDocument/2006/relationships/hyperlink" Target="http://services.igi-global.com/resolvedoi/resolve.aspx?doi=10.4018/978-1-5225-6029-6" TargetMode="External"/><Relationship Id="rId175" Type="http://schemas.openxmlformats.org/officeDocument/2006/relationships/hyperlink" Target="http://services.igi-global.com/resolvedoi/resolve.aspx?doi=10.4018/978-1-5225-7595-5" TargetMode="External"/><Relationship Id="rId196" Type="http://schemas.openxmlformats.org/officeDocument/2006/relationships/hyperlink" Target="http://services.igi-global.com/resolvedoi/resolve.aspx?doi=10.4018/978-1-5225-6971-8" TargetMode="External"/><Relationship Id="rId200" Type="http://schemas.openxmlformats.org/officeDocument/2006/relationships/hyperlink" Target="http://services.igi-global.com/resolvedoi/resolve.aspx?doi=10.4018/978-1-5225-6207-8" TargetMode="External"/><Relationship Id="rId16" Type="http://schemas.openxmlformats.org/officeDocument/2006/relationships/hyperlink" Target="http://services.igi-global.com/resolvedoi/resolve.aspx?doi=10.4018/978-1-5225-3814-1" TargetMode="External"/><Relationship Id="rId221" Type="http://schemas.openxmlformats.org/officeDocument/2006/relationships/hyperlink" Target="http://services.igi-global.com/resolvedoi/resolve.aspx?doi=10.4018/978-1-5225-7955-7" TargetMode="External"/><Relationship Id="rId37" Type="http://schemas.openxmlformats.org/officeDocument/2006/relationships/hyperlink" Target="http://services.igi-global.com/resolvedoi/resolve.aspx?doi=10.4018/978-1-5225-7195-7" TargetMode="External"/><Relationship Id="rId58" Type="http://schemas.openxmlformats.org/officeDocument/2006/relationships/hyperlink" Target="http://services.igi-global.com/resolvedoi/resolve.aspx?doi=10.4018/978-1-5225-7975-5" TargetMode="External"/><Relationship Id="rId79" Type="http://schemas.openxmlformats.org/officeDocument/2006/relationships/hyperlink" Target="http://services.igi-global.com/resolvedoi/resolve.aspx?doi=10.4018/978-1-5225-7214-5" TargetMode="External"/><Relationship Id="rId102" Type="http://schemas.openxmlformats.org/officeDocument/2006/relationships/hyperlink" Target="http://services.igi-global.com/resolvedoi/resolve.aspx?doi=10.4018/978-1-5225-7393-7" TargetMode="External"/><Relationship Id="rId123" Type="http://schemas.openxmlformats.org/officeDocument/2006/relationships/hyperlink" Target="http://services.igi-global.com/resolvedoi/resolve.aspx?doi=10.4018/978-1-5225-8900-6" TargetMode="External"/><Relationship Id="rId144" Type="http://schemas.openxmlformats.org/officeDocument/2006/relationships/hyperlink" Target="http://services.igi-global.com/resolvedoi/resolve.aspx?doi=10.4018/978-1-5225-7387-6" TargetMode="External"/><Relationship Id="rId90" Type="http://schemas.openxmlformats.org/officeDocument/2006/relationships/hyperlink" Target="http://services.igi-global.com/resolvedoi/resolve.aspx?doi=10.4018/978-1-5225-6267-2" TargetMode="External"/><Relationship Id="rId165" Type="http://schemas.openxmlformats.org/officeDocument/2006/relationships/hyperlink" Target="http://services.igi-global.com/resolvedoi/resolve.aspx?doi=10.4018/978-1-5225-7519-1" TargetMode="External"/><Relationship Id="rId186" Type="http://schemas.openxmlformats.org/officeDocument/2006/relationships/hyperlink" Target="http://services.igi-global.com/resolvedoi/resolve.aspx?doi=10.4018/978-1-5225-6995-4" TargetMode="External"/><Relationship Id="rId211" Type="http://schemas.openxmlformats.org/officeDocument/2006/relationships/hyperlink" Target="http://services.igi-global.com/resolvedoi/resolve.aspx?doi=10.4018/978-1-5225-8301-1" TargetMode="External"/><Relationship Id="rId232" Type="http://schemas.openxmlformats.org/officeDocument/2006/relationships/hyperlink" Target="http://services.igi-global.com/resolvedoi/resolve.aspx?doi=10.4018/978-1-5225-8030-0" TargetMode="External"/><Relationship Id="rId27" Type="http://schemas.openxmlformats.org/officeDocument/2006/relationships/hyperlink" Target="http://services.igi-global.com/resolvedoi/resolve.aspx?doi=10.4018/978-1-5225-8356-1" TargetMode="External"/><Relationship Id="rId48" Type="http://schemas.openxmlformats.org/officeDocument/2006/relationships/hyperlink" Target="http://services.igi-global.com/resolvedoi/resolve.aspx?doi=10.4018/978-1-5225-6298-6" TargetMode="External"/><Relationship Id="rId69" Type="http://schemas.openxmlformats.org/officeDocument/2006/relationships/hyperlink" Target="http://services.igi-global.com/resolvedoi/resolve.aspx?doi=10.4018/978-1-5225-5317-5" TargetMode="External"/><Relationship Id="rId113" Type="http://schemas.openxmlformats.org/officeDocument/2006/relationships/hyperlink" Target="http://services.igi-global.com/resolvedoi/resolve.aspx?doi=10.4018/978-1-5225-8134-5" TargetMode="External"/><Relationship Id="rId134" Type="http://schemas.openxmlformats.org/officeDocument/2006/relationships/hyperlink" Target="http://services.igi-global.com/resolvedoi/resolve.aspx?doi=10.4018/978-1-5225-7775-1" TargetMode="External"/><Relationship Id="rId80" Type="http://schemas.openxmlformats.org/officeDocument/2006/relationships/hyperlink" Target="http://services.igi-global.com/resolvedoi/resolve.aspx?doi=10.4018/978-1-5225-5730-2" TargetMode="External"/><Relationship Id="rId155" Type="http://schemas.openxmlformats.org/officeDocument/2006/relationships/hyperlink" Target="http://services.igi-global.com/resolvedoi/resolve.aspx?doi=10.4018/978-1-5225-4044-1" TargetMode="External"/><Relationship Id="rId176" Type="http://schemas.openxmlformats.org/officeDocument/2006/relationships/hyperlink" Target="http://services.igi-global.com/resolvedoi/resolve.aspx?doi=10.4018/978-1-5225-7628-0" TargetMode="External"/><Relationship Id="rId197" Type="http://schemas.openxmlformats.org/officeDocument/2006/relationships/hyperlink" Target="http://services.igi-global.com/resolvedoi/resolve.aspx?doi=10.4018/978-1-5225-6989-3" TargetMode="External"/><Relationship Id="rId201" Type="http://schemas.openxmlformats.org/officeDocument/2006/relationships/hyperlink" Target="http://services.igi-global.com/resolvedoi/resolve.aspx?doi=10.4018/978-1-5225-7107-0" TargetMode="External"/><Relationship Id="rId222" Type="http://schemas.openxmlformats.org/officeDocument/2006/relationships/hyperlink" Target="http://services.igi-global.com/resolvedoi/resolve.aspx?doi=10.4018/978-1-5225-8027-0" TargetMode="External"/><Relationship Id="rId17" Type="http://schemas.openxmlformats.org/officeDocument/2006/relationships/hyperlink" Target="http://services.igi-global.com/resolvedoi/resolve.aspx?doi=10.4018/978-1-5225-5572-8" TargetMode="External"/><Relationship Id="rId38" Type="http://schemas.openxmlformats.org/officeDocument/2006/relationships/hyperlink" Target="http://services.igi-global.com/resolvedoi/resolve.aspx?doi=10.4018/978-1-5225-7808-6" TargetMode="External"/><Relationship Id="rId59" Type="http://schemas.openxmlformats.org/officeDocument/2006/relationships/hyperlink" Target="http://services.igi-global.com/resolvedoi/resolve.aspx?doi=10.4018/978-1-5225-5249-9" TargetMode="External"/><Relationship Id="rId103" Type="http://schemas.openxmlformats.org/officeDocument/2006/relationships/hyperlink" Target="http://services.igi-global.com/resolvedoi/resolve.aspx?doi=10.4018/978-1-5225-7856-7" TargetMode="External"/><Relationship Id="rId124" Type="http://schemas.openxmlformats.org/officeDocument/2006/relationships/hyperlink" Target="http://services.igi-global.com/resolvedoi/resolve.aspx?doi=10.4018/978-1-5225-9981-4" TargetMode="External"/><Relationship Id="rId70" Type="http://schemas.openxmlformats.org/officeDocument/2006/relationships/hyperlink" Target="http://services.igi-global.com/resolvedoi/resolve.aspx?doi=10.4018/978-1-5225-6974-9" TargetMode="External"/><Relationship Id="rId91" Type="http://schemas.openxmlformats.org/officeDocument/2006/relationships/hyperlink" Target="http://services.igi-global.com/resolvedoi/resolve.aspx?doi=10.4018/978-1-5225-4963-5" TargetMode="External"/><Relationship Id="rId145" Type="http://schemas.openxmlformats.org/officeDocument/2006/relationships/hyperlink" Target="http://services.igi-global.com/resolvedoi/resolve.aspx?doi=10.4018/978-1-5225-7940-3" TargetMode="External"/><Relationship Id="rId166" Type="http://schemas.openxmlformats.org/officeDocument/2006/relationships/hyperlink" Target="http://services.igi-global.com/resolvedoi/resolve.aspx?doi=10.4018/978-1-5225-7790-4" TargetMode="External"/><Relationship Id="rId187" Type="http://schemas.openxmlformats.org/officeDocument/2006/relationships/hyperlink" Target="http://services.igi-global.com/resolvedoi/resolve.aspx?doi=10.4018/978-1-5225-7338-8" TargetMode="External"/><Relationship Id="rId1" Type="http://schemas.openxmlformats.org/officeDocument/2006/relationships/hyperlink" Target="http://services.igi-global.com/resolvedoi/resolve.aspx?doi=10.4018/978-1-4666-6134-9" TargetMode="External"/><Relationship Id="rId212" Type="http://schemas.openxmlformats.org/officeDocument/2006/relationships/hyperlink" Target="http://services.igi-global.com/resolvedoi/resolve.aspx?doi=10.4018/978-1-5225-8407-0" TargetMode="External"/><Relationship Id="rId233" Type="http://schemas.openxmlformats.org/officeDocument/2006/relationships/hyperlink" Target="http://services.igi-global.com/resolvedoi/resolve.aspx?doi=10.4018/978-1-5225-8325-7" TargetMode="External"/><Relationship Id="rId28" Type="http://schemas.openxmlformats.org/officeDocument/2006/relationships/hyperlink" Target="http://services.igi-global.com/resolvedoi/resolve.aspx?doi=10.4018/978-1-5225-7814-7" TargetMode="External"/><Relationship Id="rId49" Type="http://schemas.openxmlformats.org/officeDocument/2006/relationships/hyperlink" Target="http://services.igi-global.com/resolvedoi/resolve.aspx?doi=10.4018/978-1-5225-7155-1" TargetMode="External"/><Relationship Id="rId114" Type="http://schemas.openxmlformats.org/officeDocument/2006/relationships/hyperlink" Target="http://services.igi-global.com/resolvedoi/resolve.aspx?doi=10.4018/978-1-5225-8958-7" TargetMode="External"/><Relationship Id="rId60" Type="http://schemas.openxmlformats.org/officeDocument/2006/relationships/hyperlink" Target="http://services.igi-global.com/resolvedoi/resolve.aspx?doi=10.4018/978-1-5225-7314-2" TargetMode="External"/><Relationship Id="rId81" Type="http://schemas.openxmlformats.org/officeDocument/2006/relationships/hyperlink" Target="http://services.igi-global.com/resolvedoi/resolve.aspx?doi=10.4018/978-1-5225-7089-9" TargetMode="External"/><Relationship Id="rId135" Type="http://schemas.openxmlformats.org/officeDocument/2006/relationships/hyperlink" Target="http://services.igi-global.com/resolvedoi/resolve.aspx?doi=10.4018/978-1-5225-7934-2" TargetMode="External"/><Relationship Id="rId156" Type="http://schemas.openxmlformats.org/officeDocument/2006/relationships/hyperlink" Target="http://services.igi-global.com/resolvedoi/resolve.aspx?doi=10.4018/978-1-5225-4766-2" TargetMode="External"/><Relationship Id="rId177" Type="http://schemas.openxmlformats.org/officeDocument/2006/relationships/hyperlink" Target="http://services.igi-global.com/resolvedoi/resolve.aspx?doi=10.4018/978-1-5225-5137-9" TargetMode="External"/><Relationship Id="rId198" Type="http://schemas.openxmlformats.org/officeDocument/2006/relationships/hyperlink" Target="http://services.igi-global.com/resolvedoi/resolve.aspx?doi=10.4018/978-1-5225-5577-3" TargetMode="External"/><Relationship Id="rId202" Type="http://schemas.openxmlformats.org/officeDocument/2006/relationships/hyperlink" Target="http://services.igi-global.com/resolvedoi/resolve.aspx?doi=10.4018/978-1-5225-6070-8" TargetMode="External"/><Relationship Id="rId223" Type="http://schemas.openxmlformats.org/officeDocument/2006/relationships/hyperlink" Target="http://services.igi-global.com/resolvedoi/resolve.aspx?doi=10.4018/978-1-5225-8238-0" TargetMode="External"/><Relationship Id="rId18" Type="http://schemas.openxmlformats.org/officeDocument/2006/relationships/hyperlink" Target="http://services.igi-global.com/resolvedoi/resolve.aspx?doi=10.4018/978-1-5225-4080-9" TargetMode="External"/><Relationship Id="rId39" Type="http://schemas.openxmlformats.org/officeDocument/2006/relationships/hyperlink" Target="http://services.igi-global.com/resolvedoi/resolve.aspx?doi=10.4018/978-1-5225-7253-4" TargetMode="External"/><Relationship Id="rId50" Type="http://schemas.openxmlformats.org/officeDocument/2006/relationships/hyperlink" Target="http://services.igi-global.com/resolvedoi/resolve.aspx?doi=10.4018/978-1-5225-7897-0" TargetMode="External"/><Relationship Id="rId104" Type="http://schemas.openxmlformats.org/officeDocument/2006/relationships/hyperlink" Target="http://services.igi-global.com/resolvedoi/resolve.aspx?doi=10.4018/978-1-5225-8131-4" TargetMode="External"/><Relationship Id="rId125" Type="http://schemas.openxmlformats.org/officeDocument/2006/relationships/hyperlink" Target="http://services.igi-global.com/resolvedoi/resolve.aspx?doi=10.4018/978-1-5225-8449-0" TargetMode="External"/><Relationship Id="rId146" Type="http://schemas.openxmlformats.org/officeDocument/2006/relationships/hyperlink" Target="http://services.igi-global.com/resolvedoi/resolve.aspx?doi=10.4018/978-1-5225-6304-4" TargetMode="External"/><Relationship Id="rId167" Type="http://schemas.openxmlformats.org/officeDocument/2006/relationships/hyperlink" Target="http://services.igi-global.com/resolvedoi/resolve.aspx?doi=10.4018/978-1-5225-8223-6" TargetMode="External"/><Relationship Id="rId188" Type="http://schemas.openxmlformats.org/officeDocument/2006/relationships/hyperlink" Target="http://services.igi-global.com/resolvedoi/resolve.aspx?doi=10.4018/978-1-5225-7268-8" TargetMode="External"/><Relationship Id="rId71" Type="http://schemas.openxmlformats.org/officeDocument/2006/relationships/hyperlink" Target="http://services.igi-global.com/resolvedoi/resolve.aspx?doi=10.4018/978-1-5225-7365-4" TargetMode="External"/><Relationship Id="rId92" Type="http://schemas.openxmlformats.org/officeDocument/2006/relationships/hyperlink" Target="http://services.igi-global.com/resolvedoi/resolve.aspx?doi=10.4018/978-1-5225-6921-3" TargetMode="External"/><Relationship Id="rId213" Type="http://schemas.openxmlformats.org/officeDocument/2006/relationships/hyperlink" Target="http://services.igi-global.com/resolvedoi/resolve.aspx?doi=10.4018/978-1-5225-9031-6" TargetMode="External"/><Relationship Id="rId234" Type="http://schemas.openxmlformats.org/officeDocument/2006/relationships/hyperlink" Target="http://services.igi-global.com/resolvedoi/resolve.aspx?doi=10.4018/978-1-5225-7847-5" TargetMode="External"/><Relationship Id="rId2" Type="http://schemas.openxmlformats.org/officeDocument/2006/relationships/hyperlink" Target="http://services.igi-global.com/resolvedoi/resolve.aspx?doi=10.4018/978-1-4666-4769-5" TargetMode="External"/><Relationship Id="rId29" Type="http://schemas.openxmlformats.org/officeDocument/2006/relationships/hyperlink" Target="http://services.igi-global.com/resolvedoi/resolve.aspx?doi=10.4018/978-1-5225-8179-6" TargetMode="External"/><Relationship Id="rId40" Type="http://schemas.openxmlformats.org/officeDocument/2006/relationships/hyperlink" Target="http://services.igi-global.com/resolvedoi/resolve.aspx?doi=10.4018/978-1-5225-7805-5" TargetMode="External"/><Relationship Id="rId115" Type="http://schemas.openxmlformats.org/officeDocument/2006/relationships/hyperlink" Target="http://services.igi-global.com/resolvedoi/resolve.aspx?doi=10.4018/978-1-5225-7083-7" TargetMode="External"/><Relationship Id="rId136" Type="http://schemas.openxmlformats.org/officeDocument/2006/relationships/hyperlink" Target="http://services.igi-global.com/resolvedoi/resolve.aspx?doi=10.4018/978-1-5225-8021-8" TargetMode="External"/><Relationship Id="rId157" Type="http://schemas.openxmlformats.org/officeDocument/2006/relationships/hyperlink" Target="http://services.igi-global.com/resolvedoi/resolve.aspx?doi=10.4018/978-1-5225-5436-3" TargetMode="External"/><Relationship Id="rId178" Type="http://schemas.openxmlformats.org/officeDocument/2006/relationships/hyperlink" Target="http://services.igi-global.com/resolvedoi/resolve.aspx?doi=10.4018/978-1-5225-5406-6" TargetMode="External"/><Relationship Id="rId61" Type="http://schemas.openxmlformats.org/officeDocument/2006/relationships/hyperlink" Target="http://services.igi-global.com/resolvedoi/resolve.aspx?doi=10.4018/978-1-5225-7661-7" TargetMode="External"/><Relationship Id="rId82" Type="http://schemas.openxmlformats.org/officeDocument/2006/relationships/hyperlink" Target="http://services.igi-global.com/resolvedoi/resolve.aspx?doi=10.4018/978-1-5225-7128-5" TargetMode="External"/><Relationship Id="rId199" Type="http://schemas.openxmlformats.org/officeDocument/2006/relationships/hyperlink" Target="http://services.igi-global.com/resolvedoi/resolve.aspx?doi=10.4018/978-1-5225-6117-0" TargetMode="External"/><Relationship Id="rId203" Type="http://schemas.openxmlformats.org/officeDocument/2006/relationships/hyperlink" Target="http://services.igi-global.com/resolvedoi/resolve.aspx?doi=10.4018/978-1-5225-6002-9" TargetMode="External"/><Relationship Id="rId19" Type="http://schemas.openxmlformats.org/officeDocument/2006/relationships/hyperlink" Target="http://services.igi-global.com/resolvedoi/resolve.aspx?doi=10.4018/978-1-5225-3940-7" TargetMode="External"/><Relationship Id="rId224" Type="http://schemas.openxmlformats.org/officeDocument/2006/relationships/hyperlink" Target="http://services.igi-global.com/resolvedoi/resolve.aspx?doi=10.4018/978-1-5225-9023-1" TargetMode="External"/><Relationship Id="rId30" Type="http://schemas.openxmlformats.org/officeDocument/2006/relationships/hyperlink" Target="http://services.igi-global.com/resolvedoi/resolve.aspx?doi=10.4018/978-1-5225-7458-3" TargetMode="External"/><Relationship Id="rId105" Type="http://schemas.openxmlformats.org/officeDocument/2006/relationships/hyperlink" Target="http://services.igi-global.com/resolvedoi/resolve.aspx?doi=10.4018/978-1-5225-8292-2" TargetMode="External"/><Relationship Id="rId126" Type="http://schemas.openxmlformats.org/officeDocument/2006/relationships/hyperlink" Target="http://services.igi-global.com/resolvedoi/resolve.aspx?doi=10.4018/978-1-5225-8867-2" TargetMode="External"/><Relationship Id="rId147" Type="http://schemas.openxmlformats.org/officeDocument/2006/relationships/hyperlink" Target="http://services.igi-global.com/resolvedoi/resolve.aspx?doi=10.4018/978-1-5225-7635-8" TargetMode="External"/><Relationship Id="rId168" Type="http://schemas.openxmlformats.org/officeDocument/2006/relationships/hyperlink" Target="http://services.igi-global.com/resolvedoi/resolve.aspx?doi=10.4018/978-1-5225-5742-5" TargetMode="External"/><Relationship Id="rId51" Type="http://schemas.openxmlformats.org/officeDocument/2006/relationships/hyperlink" Target="http://services.igi-global.com/resolvedoi/resolve.aspx?doi=10.4018/978-1-5225-3811-0" TargetMode="External"/><Relationship Id="rId72" Type="http://schemas.openxmlformats.org/officeDocument/2006/relationships/hyperlink" Target="http://services.igi-global.com/resolvedoi/resolve.aspx?doi=10.4018/978-1-5225-5670-1" TargetMode="External"/><Relationship Id="rId93" Type="http://schemas.openxmlformats.org/officeDocument/2006/relationships/hyperlink" Target="http://services.igi-global.com/resolvedoi/resolve.aspx?doi=10.4018/978-1-5225-6158-3" TargetMode="External"/><Relationship Id="rId189" Type="http://schemas.openxmlformats.org/officeDocument/2006/relationships/hyperlink" Target="http://services.igi-global.com/resolvedoi/resolve.aspx?doi=10.4018/978-1-5225-7598-6" TargetMode="External"/><Relationship Id="rId3" Type="http://schemas.openxmlformats.org/officeDocument/2006/relationships/hyperlink" Target="http://services.igi-global.com/resolvedoi/resolve.aspx?doi=10.4018/978-1-4666-4474-8" TargetMode="External"/><Relationship Id="rId214" Type="http://schemas.openxmlformats.org/officeDocument/2006/relationships/hyperlink" Target="http://services.igi-global.com/resolvedoi/resolve.aspx?doi=10.4018/978-1-5225-7335-7" TargetMode="External"/><Relationship Id="rId235" Type="http://schemas.openxmlformats.org/officeDocument/2006/relationships/hyperlink" Target="http://services.igi-global.com/resolvedoi/resolve.aspx?doi=10.4018/978-1-5225-8100-0" TargetMode="External"/><Relationship Id="rId116" Type="http://schemas.openxmlformats.org/officeDocument/2006/relationships/hyperlink" Target="http://services.igi-global.com/resolvedoi/resolve.aspx?doi=10.4018/978-1-5225-8976-1" TargetMode="External"/><Relationship Id="rId137" Type="http://schemas.openxmlformats.org/officeDocument/2006/relationships/hyperlink" Target="http://services.igi-global.com/resolvedoi/resolve.aspx?doi=10.4018/978-1-5225-7350-0" TargetMode="External"/><Relationship Id="rId158" Type="http://schemas.openxmlformats.org/officeDocument/2006/relationships/hyperlink" Target="http://services.igi-global.com/resolvedoi/resolve.aspx?doi=10.4018/978-1-5225-5261-1" TargetMode="External"/><Relationship Id="rId20" Type="http://schemas.openxmlformats.org/officeDocument/2006/relationships/hyperlink" Target="http://services.igi-global.com/resolvedoi/resolve.aspx?doi=10.4018/978-1-5225-4757-0" TargetMode="External"/><Relationship Id="rId41" Type="http://schemas.openxmlformats.org/officeDocument/2006/relationships/hyperlink" Target="http://services.igi-global.com/resolvedoi/resolve.aspx?doi=10.4018/978-1-5225-7329-6" TargetMode="External"/><Relationship Id="rId62" Type="http://schemas.openxmlformats.org/officeDocument/2006/relationships/hyperlink" Target="http://services.igi-global.com/resolvedoi/resolve.aspx?doi=10.4018/978-1-5225-6983-1" TargetMode="External"/><Relationship Id="rId83" Type="http://schemas.openxmlformats.org/officeDocument/2006/relationships/hyperlink" Target="http://services.igi-global.com/resolvedoi/resolve.aspx?doi=10.4018/978-1-5225-5760-9" TargetMode="External"/><Relationship Id="rId179" Type="http://schemas.openxmlformats.org/officeDocument/2006/relationships/hyperlink" Target="http://services.igi-global.com/resolvedoi/resolve.aspx?doi=10.4018/978-1-5225-7149-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3"/>
  <sheetViews>
    <sheetView workbookViewId="0">
      <selection activeCell="K34" sqref="K34"/>
    </sheetView>
  </sheetViews>
  <sheetFormatPr defaultRowHeight="16.2"/>
  <cols>
    <col min="1" max="1" width="6.77734375" customWidth="1"/>
    <col min="2" max="2" width="0" hidden="1" customWidth="1"/>
    <col min="3" max="3" width="23.6640625" customWidth="1"/>
    <col min="4" max="4" width="0" hidden="1" customWidth="1"/>
    <col min="5" max="5" width="22.77734375" hidden="1" customWidth="1"/>
    <col min="6" max="6" width="17.88671875" customWidth="1"/>
    <col min="7" max="7" width="0" hidden="1" customWidth="1"/>
    <col min="8" max="8" width="74.33203125" customWidth="1"/>
    <col min="9" max="10" width="0" hidden="1" customWidth="1"/>
    <col min="11" max="11" width="21.33203125" customWidth="1"/>
    <col min="12" max="12" width="0" hidden="1" customWidth="1"/>
    <col min="14" max="14" width="78.109375" customWidth="1"/>
  </cols>
  <sheetData>
    <row r="1" spans="1:14" s="50" customFormat="1">
      <c r="A1" s="45" t="s">
        <v>3973</v>
      </c>
      <c r="B1" s="45" t="s">
        <v>3974</v>
      </c>
      <c r="C1" s="45" t="s">
        <v>3975</v>
      </c>
      <c r="D1" s="46" t="s">
        <v>1225</v>
      </c>
      <c r="E1" s="46" t="s">
        <v>1226</v>
      </c>
      <c r="F1" s="45" t="s">
        <v>3976</v>
      </c>
      <c r="G1" s="45" t="s">
        <v>544</v>
      </c>
      <c r="H1" s="45" t="s">
        <v>3977</v>
      </c>
      <c r="I1" s="45" t="s">
        <v>545</v>
      </c>
      <c r="J1" s="45" t="s">
        <v>3978</v>
      </c>
      <c r="K1" s="45" t="s">
        <v>1222</v>
      </c>
      <c r="L1" s="45" t="s">
        <v>3979</v>
      </c>
      <c r="M1" s="45" t="s">
        <v>3980</v>
      </c>
      <c r="N1" s="45" t="s">
        <v>3981</v>
      </c>
    </row>
    <row r="2" spans="1:14">
      <c r="A2" s="47">
        <v>1</v>
      </c>
      <c r="B2" s="47" t="s">
        <v>571</v>
      </c>
      <c r="C2" s="47" t="s">
        <v>567</v>
      </c>
      <c r="D2" s="48" t="s">
        <v>3982</v>
      </c>
      <c r="E2" s="48" t="s">
        <v>3983</v>
      </c>
      <c r="F2" s="47" t="s">
        <v>3984</v>
      </c>
      <c r="G2" s="47" t="s">
        <v>3985</v>
      </c>
      <c r="H2" s="47" t="s">
        <v>3986</v>
      </c>
      <c r="I2" s="47" t="s">
        <v>3987</v>
      </c>
      <c r="J2" s="47" t="s">
        <v>3987</v>
      </c>
      <c r="K2" s="47" t="s">
        <v>3988</v>
      </c>
      <c r="L2" s="47" t="s">
        <v>568</v>
      </c>
      <c r="M2" s="47" t="s">
        <v>3989</v>
      </c>
      <c r="N2" s="33" t="str">
        <f>HYPERLINK("http://services.igi-global.com/resolvedoi/resolve.aspx?doi=10.4018/978-1-61520-993-4")</f>
        <v>http://services.igi-global.com/resolvedoi/resolve.aspx?doi=10.4018/978-1-61520-993-4</v>
      </c>
    </row>
    <row r="3" spans="1:14">
      <c r="A3" s="47">
        <v>2</v>
      </c>
      <c r="B3" s="47" t="s">
        <v>571</v>
      </c>
      <c r="C3" s="47" t="s">
        <v>567</v>
      </c>
      <c r="D3" s="48" t="s">
        <v>4731</v>
      </c>
      <c r="E3" s="48" t="s">
        <v>4732</v>
      </c>
      <c r="F3" s="47" t="s">
        <v>4733</v>
      </c>
      <c r="G3" s="47" t="s">
        <v>4734</v>
      </c>
      <c r="H3" s="47" t="s">
        <v>4735</v>
      </c>
      <c r="I3" s="47" t="s">
        <v>3987</v>
      </c>
      <c r="J3" s="47" t="s">
        <v>3987</v>
      </c>
      <c r="K3" s="47" t="s">
        <v>4736</v>
      </c>
      <c r="L3" s="47" t="s">
        <v>568</v>
      </c>
      <c r="M3" s="47" t="s">
        <v>3989</v>
      </c>
      <c r="N3" s="33" t="str">
        <f>HYPERLINK("http://services.igi-global.com/resolvedoi/resolve.aspx?doi=10.4018/978-1-60960-738-8")</f>
        <v>http://services.igi-global.com/resolvedoi/resolve.aspx?doi=10.4018/978-1-60960-738-8</v>
      </c>
    </row>
    <row r="4" spans="1:14">
      <c r="A4" s="47">
        <v>3</v>
      </c>
      <c r="B4" s="47" t="s">
        <v>571</v>
      </c>
      <c r="C4" s="47" t="s">
        <v>567</v>
      </c>
      <c r="D4" s="48" t="s">
        <v>3990</v>
      </c>
      <c r="E4" s="48" t="s">
        <v>3991</v>
      </c>
      <c r="F4" s="47" t="s">
        <v>3992</v>
      </c>
      <c r="G4" s="47" t="s">
        <v>3993</v>
      </c>
      <c r="H4" s="47" t="s">
        <v>3994</v>
      </c>
      <c r="I4" s="47" t="s">
        <v>3987</v>
      </c>
      <c r="J4" s="47" t="s">
        <v>3987</v>
      </c>
      <c r="K4" s="47" t="s">
        <v>3995</v>
      </c>
      <c r="L4" s="47" t="s">
        <v>568</v>
      </c>
      <c r="M4" s="47" t="s">
        <v>3989</v>
      </c>
      <c r="N4" s="33" t="str">
        <f>HYPERLINK("http://services.igi-global.com/resolvedoi/resolve.aspx?doi=10.4018/978-1-60960-581-0")</f>
        <v>http://services.igi-global.com/resolvedoi/resolve.aspx?doi=10.4018/978-1-60960-581-0</v>
      </c>
    </row>
    <row r="5" spans="1:14">
      <c r="A5" s="47">
        <v>4</v>
      </c>
      <c r="B5" s="47" t="s">
        <v>571</v>
      </c>
      <c r="C5" s="47" t="s">
        <v>567</v>
      </c>
      <c r="D5" s="48" t="s">
        <v>3996</v>
      </c>
      <c r="E5" s="48" t="s">
        <v>3997</v>
      </c>
      <c r="F5" s="47" t="s">
        <v>3998</v>
      </c>
      <c r="G5" s="47" t="s">
        <v>3999</v>
      </c>
      <c r="H5" s="47" t="s">
        <v>4000</v>
      </c>
      <c r="I5" s="47" t="s">
        <v>3987</v>
      </c>
      <c r="J5" s="47" t="s">
        <v>3987</v>
      </c>
      <c r="K5" s="47" t="s">
        <v>2709</v>
      </c>
      <c r="L5" s="47" t="s">
        <v>569</v>
      </c>
      <c r="M5" s="47" t="s">
        <v>3989</v>
      </c>
      <c r="N5" s="33" t="str">
        <f>HYPERLINK("http://services.igi-global.com/resolvedoi/resolve.aspx?doi=10.4018/978-1-60960-599-5")</f>
        <v>http://services.igi-global.com/resolvedoi/resolve.aspx?doi=10.4018/978-1-60960-599-5</v>
      </c>
    </row>
    <row r="6" spans="1:14">
      <c r="A6" s="47">
        <v>5</v>
      </c>
      <c r="B6" s="47" t="s">
        <v>571</v>
      </c>
      <c r="C6" s="47" t="s">
        <v>567</v>
      </c>
      <c r="D6" s="48" t="s">
        <v>489</v>
      </c>
      <c r="E6" s="48" t="s">
        <v>4008</v>
      </c>
      <c r="F6" s="47" t="s">
        <v>4009</v>
      </c>
      <c r="G6" s="47" t="s">
        <v>4010</v>
      </c>
      <c r="H6" s="47" t="s">
        <v>4011</v>
      </c>
      <c r="I6" s="47" t="s">
        <v>3987</v>
      </c>
      <c r="J6" s="47" t="s">
        <v>3987</v>
      </c>
      <c r="K6" s="47" t="s">
        <v>570</v>
      </c>
      <c r="L6" s="47" t="s">
        <v>569</v>
      </c>
      <c r="M6" s="47" t="s">
        <v>3989</v>
      </c>
      <c r="N6" s="33" t="str">
        <f>HYPERLINK("http://services.igi-global.com/resolvedoi/resolve.aspx?doi=10.4018/978-1-60960-607-7")</f>
        <v>http://services.igi-global.com/resolvedoi/resolve.aspx?doi=10.4018/978-1-60960-607-7</v>
      </c>
    </row>
    <row r="7" spans="1:14">
      <c r="A7" s="47">
        <v>6</v>
      </c>
      <c r="B7" s="47" t="s">
        <v>571</v>
      </c>
      <c r="C7" s="47" t="s">
        <v>567</v>
      </c>
      <c r="D7" s="48" t="s">
        <v>511</v>
      </c>
      <c r="E7" s="48" t="s">
        <v>4012</v>
      </c>
      <c r="F7" s="47" t="s">
        <v>4013</v>
      </c>
      <c r="G7" s="47" t="s">
        <v>4014</v>
      </c>
      <c r="H7" s="47" t="s">
        <v>4015</v>
      </c>
      <c r="I7" s="47" t="s">
        <v>3987</v>
      </c>
      <c r="J7" s="47" t="s">
        <v>3987</v>
      </c>
      <c r="K7" s="47" t="s">
        <v>4016</v>
      </c>
      <c r="L7" s="47" t="s">
        <v>568</v>
      </c>
      <c r="M7" s="47" t="s">
        <v>3989</v>
      </c>
      <c r="N7" s="33" t="str">
        <f>HYPERLINK("http://services.igi-global.com/resolvedoi/resolve.aspx?doi=10.4018/978-1-60566-806-2")</f>
        <v>http://services.igi-global.com/resolvedoi/resolve.aspx?doi=10.4018/978-1-60566-806-2</v>
      </c>
    </row>
    <row r="8" spans="1:14">
      <c r="A8" s="47">
        <v>7</v>
      </c>
      <c r="B8" s="47" t="s">
        <v>571</v>
      </c>
      <c r="C8" s="47" t="s">
        <v>567</v>
      </c>
      <c r="D8" s="48" t="s">
        <v>512</v>
      </c>
      <c r="E8" s="48" t="s">
        <v>4017</v>
      </c>
      <c r="F8" s="47" t="s">
        <v>4018</v>
      </c>
      <c r="G8" s="47" t="s">
        <v>4019</v>
      </c>
      <c r="H8" s="47" t="s">
        <v>4020</v>
      </c>
      <c r="I8" s="47" t="s">
        <v>3987</v>
      </c>
      <c r="J8" s="47" t="s">
        <v>3987</v>
      </c>
      <c r="K8" s="47" t="s">
        <v>4021</v>
      </c>
      <c r="L8" s="47" t="s">
        <v>569</v>
      </c>
      <c r="M8" s="47" t="s">
        <v>3989</v>
      </c>
      <c r="N8" s="33" t="str">
        <f>HYPERLINK("http://services.igi-global.com/resolvedoi/resolve.aspx?doi=10.4018/978-1-61520-867-8")</f>
        <v>http://services.igi-global.com/resolvedoi/resolve.aspx?doi=10.4018/978-1-61520-867-8</v>
      </c>
    </row>
    <row r="9" spans="1:14">
      <c r="A9" s="47">
        <v>8</v>
      </c>
      <c r="B9" s="47" t="s">
        <v>571</v>
      </c>
      <c r="C9" s="47" t="s">
        <v>567</v>
      </c>
      <c r="D9" s="48" t="s">
        <v>4022</v>
      </c>
      <c r="E9" s="48" t="s">
        <v>4023</v>
      </c>
      <c r="F9" s="47" t="s">
        <v>4024</v>
      </c>
      <c r="G9" s="47" t="s">
        <v>4025</v>
      </c>
      <c r="H9" s="47" t="s">
        <v>4026</v>
      </c>
      <c r="I9" s="47" t="s">
        <v>3987</v>
      </c>
      <c r="J9" s="47" t="s">
        <v>3987</v>
      </c>
      <c r="K9" s="47" t="s">
        <v>4027</v>
      </c>
      <c r="L9" s="47" t="s">
        <v>568</v>
      </c>
      <c r="M9" s="47" t="s">
        <v>3989</v>
      </c>
      <c r="N9" s="33" t="str">
        <f>HYPERLINK("http://services.igi-global.com/resolvedoi/resolve.aspx?doi=10.4018/978-1-61692-877-3")</f>
        <v>http://services.igi-global.com/resolvedoi/resolve.aspx?doi=10.4018/978-1-61692-877-3</v>
      </c>
    </row>
    <row r="10" spans="1:14">
      <c r="A10" s="47">
        <v>9</v>
      </c>
      <c r="B10" s="47" t="s">
        <v>571</v>
      </c>
      <c r="C10" s="47" t="s">
        <v>567</v>
      </c>
      <c r="D10" s="48" t="s">
        <v>4034</v>
      </c>
      <c r="E10" s="48" t="s">
        <v>4035</v>
      </c>
      <c r="F10" s="47" t="s">
        <v>4036</v>
      </c>
      <c r="G10" s="47" t="s">
        <v>4037</v>
      </c>
      <c r="H10" s="47" t="s">
        <v>4038</v>
      </c>
      <c r="I10" s="47" t="s">
        <v>3987</v>
      </c>
      <c r="J10" s="47" t="s">
        <v>3987</v>
      </c>
      <c r="K10" s="47" t="s">
        <v>578</v>
      </c>
      <c r="L10" s="47" t="s">
        <v>568</v>
      </c>
      <c r="M10" s="47" t="s">
        <v>3989</v>
      </c>
      <c r="N10" s="33" t="str">
        <f>HYPERLINK("http://services.igi-global.com/resolvedoi/resolve.aspx?doi=10.4018/978-1-60960-132-4")</f>
        <v>http://services.igi-global.com/resolvedoi/resolve.aspx?doi=10.4018/978-1-60960-132-4</v>
      </c>
    </row>
    <row r="11" spans="1:14">
      <c r="A11" s="47">
        <v>10</v>
      </c>
      <c r="B11" s="47" t="s">
        <v>571</v>
      </c>
      <c r="C11" s="47" t="s">
        <v>567</v>
      </c>
      <c r="D11" s="48" t="s">
        <v>489</v>
      </c>
      <c r="E11" s="48" t="s">
        <v>4039</v>
      </c>
      <c r="F11" s="47" t="s">
        <v>4040</v>
      </c>
      <c r="G11" s="47" t="s">
        <v>4041</v>
      </c>
      <c r="H11" s="47" t="s">
        <v>4042</v>
      </c>
      <c r="I11" s="47" t="s">
        <v>3987</v>
      </c>
      <c r="J11" s="47" t="s">
        <v>3987</v>
      </c>
      <c r="K11" s="47" t="s">
        <v>579</v>
      </c>
      <c r="L11" s="47" t="s">
        <v>568</v>
      </c>
      <c r="M11" s="47" t="s">
        <v>3989</v>
      </c>
      <c r="N11" s="33" t="str">
        <f>HYPERLINK("http://services.igi-global.com/resolvedoi/resolve.aspx?doi=10.4018/978-1-61692-880-3")</f>
        <v>http://services.igi-global.com/resolvedoi/resolve.aspx?doi=10.4018/978-1-61692-880-3</v>
      </c>
    </row>
    <row r="12" spans="1:14">
      <c r="A12" s="47">
        <v>11</v>
      </c>
      <c r="B12" s="47" t="s">
        <v>571</v>
      </c>
      <c r="C12" s="47" t="s">
        <v>567</v>
      </c>
      <c r="D12" s="48" t="s">
        <v>489</v>
      </c>
      <c r="E12" s="48" t="s">
        <v>4043</v>
      </c>
      <c r="F12" s="47" t="s">
        <v>4044</v>
      </c>
      <c r="G12" s="47" t="s">
        <v>4045</v>
      </c>
      <c r="H12" s="47" t="s">
        <v>4046</v>
      </c>
      <c r="I12" s="47" t="s">
        <v>3987</v>
      </c>
      <c r="J12" s="47" t="s">
        <v>3987</v>
      </c>
      <c r="K12" s="47" t="s">
        <v>579</v>
      </c>
      <c r="L12" s="47" t="s">
        <v>568</v>
      </c>
      <c r="M12" s="47" t="s">
        <v>3989</v>
      </c>
      <c r="N12" s="33" t="str">
        <f>HYPERLINK("http://services.igi-global.com/resolvedoi/resolve.aspx?doi=10.4018/978-1-60960-463-9")</f>
        <v>http://services.igi-global.com/resolvedoi/resolve.aspx?doi=10.4018/978-1-60960-463-9</v>
      </c>
    </row>
    <row r="13" spans="1:14">
      <c r="A13" s="47">
        <v>12</v>
      </c>
      <c r="B13" s="47" t="s">
        <v>571</v>
      </c>
      <c r="C13" s="47" t="s">
        <v>567</v>
      </c>
      <c r="D13" s="48" t="s">
        <v>3990</v>
      </c>
      <c r="E13" s="48" t="s">
        <v>4047</v>
      </c>
      <c r="F13" s="47" t="s">
        <v>4048</v>
      </c>
      <c r="G13" s="47" t="s">
        <v>4049</v>
      </c>
      <c r="H13" s="47" t="s">
        <v>4050</v>
      </c>
      <c r="I13" s="47" t="s">
        <v>3987</v>
      </c>
      <c r="J13" s="47" t="s">
        <v>3987</v>
      </c>
      <c r="K13" s="47" t="s">
        <v>580</v>
      </c>
      <c r="L13" s="47" t="s">
        <v>568</v>
      </c>
      <c r="M13" s="47" t="s">
        <v>3989</v>
      </c>
      <c r="N13" s="33" t="str">
        <f>HYPERLINK("http://services.igi-global.com/resolvedoi/resolve.aspx?doi=10.4018/978-1-60960-485-1")</f>
        <v>http://services.igi-global.com/resolvedoi/resolve.aspx?doi=10.4018/978-1-60960-485-1</v>
      </c>
    </row>
    <row r="14" spans="1:14">
      <c r="A14" s="47">
        <v>13</v>
      </c>
      <c r="B14" s="47" t="s">
        <v>571</v>
      </c>
      <c r="C14" s="47" t="s">
        <v>567</v>
      </c>
      <c r="D14" s="48" t="s">
        <v>4051</v>
      </c>
      <c r="E14" s="48" t="s">
        <v>4052</v>
      </c>
      <c r="F14" s="47" t="s">
        <v>4053</v>
      </c>
      <c r="G14" s="47" t="s">
        <v>4054</v>
      </c>
      <c r="H14" s="47" t="s">
        <v>4055</v>
      </c>
      <c r="I14" s="47" t="s">
        <v>3987</v>
      </c>
      <c r="J14" s="47" t="s">
        <v>3987</v>
      </c>
      <c r="K14" s="47" t="s">
        <v>4056</v>
      </c>
      <c r="L14" s="47" t="s">
        <v>568</v>
      </c>
      <c r="M14" s="47" t="s">
        <v>3989</v>
      </c>
      <c r="N14" s="33" t="str">
        <f>HYPERLINK("http://services.igi-global.com/resolvedoi/resolve.aspx?doi=10.4018/978-1-61520-623-0")</f>
        <v>http://services.igi-global.com/resolvedoi/resolve.aspx?doi=10.4018/978-1-61520-623-0</v>
      </c>
    </row>
    <row r="15" spans="1:14">
      <c r="A15" s="47">
        <v>14</v>
      </c>
      <c r="B15" s="47" t="s">
        <v>571</v>
      </c>
      <c r="C15" s="47" t="s">
        <v>567</v>
      </c>
      <c r="D15" s="48" t="s">
        <v>4057</v>
      </c>
      <c r="E15" s="48" t="s">
        <v>4058</v>
      </c>
      <c r="F15" s="47" t="s">
        <v>4059</v>
      </c>
      <c r="G15" s="47" t="s">
        <v>4060</v>
      </c>
      <c r="H15" s="47" t="s">
        <v>4061</v>
      </c>
      <c r="I15" s="47" t="s">
        <v>3987</v>
      </c>
      <c r="J15" s="47" t="s">
        <v>3987</v>
      </c>
      <c r="K15" s="47" t="s">
        <v>4062</v>
      </c>
      <c r="L15" s="47" t="s">
        <v>568</v>
      </c>
      <c r="M15" s="47" t="s">
        <v>3989</v>
      </c>
      <c r="N15" s="33" t="str">
        <f>HYPERLINK("http://services.igi-global.com/resolvedoi/resolve.aspx?doi=10.4018/978-1-60566-808-6")</f>
        <v>http://services.igi-global.com/resolvedoi/resolve.aspx?doi=10.4018/978-1-60566-808-6</v>
      </c>
    </row>
    <row r="16" spans="1:14">
      <c r="A16" s="47">
        <v>15</v>
      </c>
      <c r="B16" s="47" t="s">
        <v>571</v>
      </c>
      <c r="C16" s="47" t="s">
        <v>567</v>
      </c>
      <c r="D16" s="48" t="s">
        <v>491</v>
      </c>
      <c r="E16" s="48" t="s">
        <v>4063</v>
      </c>
      <c r="F16" s="47" t="s">
        <v>4064</v>
      </c>
      <c r="G16" s="47" t="s">
        <v>4065</v>
      </c>
      <c r="H16" s="47" t="s">
        <v>4066</v>
      </c>
      <c r="I16" s="47" t="s">
        <v>3987</v>
      </c>
      <c r="J16" s="47" t="s">
        <v>3987</v>
      </c>
      <c r="K16" s="47" t="s">
        <v>579</v>
      </c>
      <c r="L16" s="47" t="s">
        <v>569</v>
      </c>
      <c r="M16" s="47" t="s">
        <v>3989</v>
      </c>
      <c r="N16" s="33" t="str">
        <f>HYPERLINK("http://services.igi-global.com/resolvedoi/resolve.aspx?doi=10.4018/978-1-61692-020-3")</f>
        <v>http://services.igi-global.com/resolvedoi/resolve.aspx?doi=10.4018/978-1-61692-020-3</v>
      </c>
    </row>
    <row r="17" spans="1:14">
      <c r="A17" s="47">
        <v>16</v>
      </c>
      <c r="B17" s="47" t="s">
        <v>571</v>
      </c>
      <c r="C17" s="47" t="s">
        <v>567</v>
      </c>
      <c r="D17" s="48" t="s">
        <v>4067</v>
      </c>
      <c r="E17" s="48" t="s">
        <v>4068</v>
      </c>
      <c r="F17" s="47" t="s">
        <v>4069</v>
      </c>
      <c r="G17" s="47" t="s">
        <v>4070</v>
      </c>
      <c r="H17" s="47" t="s">
        <v>4071</v>
      </c>
      <c r="I17" s="47" t="s">
        <v>3987</v>
      </c>
      <c r="J17" s="47" t="s">
        <v>3987</v>
      </c>
      <c r="K17" s="47" t="s">
        <v>4072</v>
      </c>
      <c r="L17" s="47" t="s">
        <v>568</v>
      </c>
      <c r="M17" s="47" t="s">
        <v>3989</v>
      </c>
      <c r="N17" s="33" t="str">
        <f>HYPERLINK("http://services.igi-global.com/resolvedoi/resolve.aspx?doi=10.4018/978-1-60960-756-2")</f>
        <v>http://services.igi-global.com/resolvedoi/resolve.aspx?doi=10.4018/978-1-60960-756-2</v>
      </c>
    </row>
    <row r="18" spans="1:14">
      <c r="A18" s="47">
        <v>17</v>
      </c>
      <c r="B18" s="47" t="s">
        <v>571</v>
      </c>
      <c r="C18" s="47" t="s">
        <v>567</v>
      </c>
      <c r="D18" s="48" t="s">
        <v>4078</v>
      </c>
      <c r="E18" s="48" t="s">
        <v>4079</v>
      </c>
      <c r="F18" s="47" t="s">
        <v>4080</v>
      </c>
      <c r="G18" s="47" t="s">
        <v>4081</v>
      </c>
      <c r="H18" s="47" t="s">
        <v>4082</v>
      </c>
      <c r="I18" s="47" t="s">
        <v>3987</v>
      </c>
      <c r="J18" s="47" t="s">
        <v>3987</v>
      </c>
      <c r="K18" s="47" t="s">
        <v>546</v>
      </c>
      <c r="L18" s="47" t="s">
        <v>568</v>
      </c>
      <c r="M18" s="47" t="s">
        <v>3989</v>
      </c>
      <c r="N18" s="33" t="str">
        <f>HYPERLINK("http://services.igi-global.com/resolvedoi/resolve.aspx?doi=10.4018/978-1-60960-531-5")</f>
        <v>http://services.igi-global.com/resolvedoi/resolve.aspx?doi=10.4018/978-1-60960-531-5</v>
      </c>
    </row>
    <row r="19" spans="1:14">
      <c r="A19" s="47">
        <v>18</v>
      </c>
      <c r="B19" s="47" t="s">
        <v>571</v>
      </c>
      <c r="C19" s="47" t="s">
        <v>567</v>
      </c>
      <c r="D19" s="48" t="s">
        <v>503</v>
      </c>
      <c r="E19" s="48" t="s">
        <v>4083</v>
      </c>
      <c r="F19" s="47" t="s">
        <v>4084</v>
      </c>
      <c r="G19" s="47" t="s">
        <v>4085</v>
      </c>
      <c r="H19" s="47" t="s">
        <v>4086</v>
      </c>
      <c r="I19" s="47" t="s">
        <v>3987</v>
      </c>
      <c r="J19" s="47" t="s">
        <v>3987</v>
      </c>
      <c r="K19" s="47" t="s">
        <v>4087</v>
      </c>
      <c r="L19" s="47" t="s">
        <v>568</v>
      </c>
      <c r="M19" s="47" t="s">
        <v>3989</v>
      </c>
      <c r="N19" s="33" t="str">
        <f>HYPERLINK("http://services.igi-global.com/resolvedoi/resolve.aspx?doi=10.4018/978-1-60566-802-4")</f>
        <v>http://services.igi-global.com/resolvedoi/resolve.aspx?doi=10.4018/978-1-60566-802-4</v>
      </c>
    </row>
    <row r="20" spans="1:14">
      <c r="A20" s="47">
        <v>19</v>
      </c>
      <c r="B20" s="47" t="s">
        <v>571</v>
      </c>
      <c r="C20" s="47" t="s">
        <v>567</v>
      </c>
      <c r="D20" s="48" t="s">
        <v>4001</v>
      </c>
      <c r="E20" s="48" t="s">
        <v>4756</v>
      </c>
      <c r="F20" s="47" t="s">
        <v>4757</v>
      </c>
      <c r="G20" s="47" t="s">
        <v>4758</v>
      </c>
      <c r="H20" s="47" t="s">
        <v>4759</v>
      </c>
      <c r="I20" s="47" t="s">
        <v>3987</v>
      </c>
      <c r="J20" s="47" t="s">
        <v>3987</v>
      </c>
      <c r="K20" s="47" t="s">
        <v>4760</v>
      </c>
      <c r="L20" s="47" t="s">
        <v>568</v>
      </c>
      <c r="M20" s="47" t="s">
        <v>3989</v>
      </c>
      <c r="N20" s="33" t="str">
        <f>HYPERLINK("http://services.igi-global.com/resolvedoi/resolve.aspx?doi=10.4018/978-1-60960-501-8")</f>
        <v>http://services.igi-global.com/resolvedoi/resolve.aspx?doi=10.4018/978-1-60960-501-8</v>
      </c>
    </row>
    <row r="21" spans="1:14">
      <c r="A21" s="47">
        <v>20</v>
      </c>
      <c r="B21" s="47" t="s">
        <v>571</v>
      </c>
      <c r="C21" s="47" t="s">
        <v>567</v>
      </c>
      <c r="D21" s="48" t="s">
        <v>491</v>
      </c>
      <c r="E21" s="48" t="s">
        <v>4094</v>
      </c>
      <c r="F21" s="47" t="s">
        <v>4095</v>
      </c>
      <c r="G21" s="47" t="s">
        <v>4096</v>
      </c>
      <c r="H21" s="47" t="s">
        <v>4097</v>
      </c>
      <c r="I21" s="47" t="s">
        <v>3987</v>
      </c>
      <c r="J21" s="47" t="s">
        <v>3987</v>
      </c>
      <c r="K21" s="47" t="s">
        <v>547</v>
      </c>
      <c r="L21" s="47" t="s">
        <v>568</v>
      </c>
      <c r="M21" s="47" t="s">
        <v>3989</v>
      </c>
      <c r="N21" s="33" t="str">
        <f>HYPERLINK("http://services.igi-global.com/resolvedoi/resolve.aspx?doi=10.4018/978-1-60960-138-6")</f>
        <v>http://services.igi-global.com/resolvedoi/resolve.aspx?doi=10.4018/978-1-60960-138-6</v>
      </c>
    </row>
    <row r="22" spans="1:14">
      <c r="A22" s="47">
        <v>21</v>
      </c>
      <c r="B22" s="47" t="s">
        <v>571</v>
      </c>
      <c r="C22" s="47" t="s">
        <v>567</v>
      </c>
      <c r="D22" s="48" t="s">
        <v>491</v>
      </c>
      <c r="E22" s="48" t="s">
        <v>4767</v>
      </c>
      <c r="F22" s="47" t="s">
        <v>4768</v>
      </c>
      <c r="G22" s="47" t="s">
        <v>4769</v>
      </c>
      <c r="H22" s="47" t="s">
        <v>4770</v>
      </c>
      <c r="I22" s="47" t="s">
        <v>3987</v>
      </c>
      <c r="J22" s="47" t="s">
        <v>3987</v>
      </c>
      <c r="K22" s="47" t="s">
        <v>572</v>
      </c>
      <c r="L22" s="47" t="s">
        <v>569</v>
      </c>
      <c r="M22" s="47" t="s">
        <v>3989</v>
      </c>
      <c r="N22" s="33" t="str">
        <f>HYPERLINK("http://services.igi-global.com/resolvedoi/resolve.aspx?doi=10.4018/978-1-60960-529-2")</f>
        <v>http://services.igi-global.com/resolvedoi/resolve.aspx?doi=10.4018/978-1-60960-529-2</v>
      </c>
    </row>
    <row r="23" spans="1:14">
      <c r="A23" s="47">
        <v>22</v>
      </c>
      <c r="B23" s="47" t="s">
        <v>571</v>
      </c>
      <c r="C23" s="47" t="s">
        <v>567</v>
      </c>
      <c r="D23" s="48" t="s">
        <v>492</v>
      </c>
      <c r="E23" s="48" t="s">
        <v>4771</v>
      </c>
      <c r="F23" s="47" t="s">
        <v>4772</v>
      </c>
      <c r="G23" s="47" t="s">
        <v>4773</v>
      </c>
      <c r="H23" s="47" t="s">
        <v>4774</v>
      </c>
      <c r="I23" s="47" t="s">
        <v>3987</v>
      </c>
      <c r="J23" s="47" t="s">
        <v>3987</v>
      </c>
      <c r="K23" s="47" t="s">
        <v>4775</v>
      </c>
      <c r="L23" s="47" t="s">
        <v>568</v>
      </c>
      <c r="M23" s="47" t="s">
        <v>3989</v>
      </c>
      <c r="N23" s="33" t="str">
        <f>HYPERLINK("http://services.igi-global.com/resolvedoi/resolve.aspx?doi=10.4018/978-1-61692-862-9")</f>
        <v>http://services.igi-global.com/resolvedoi/resolve.aspx?doi=10.4018/978-1-61692-862-9</v>
      </c>
    </row>
    <row r="24" spans="1:14">
      <c r="A24" s="47">
        <v>23</v>
      </c>
      <c r="B24" s="47" t="s">
        <v>571</v>
      </c>
      <c r="C24" s="47" t="s">
        <v>567</v>
      </c>
      <c r="D24" s="48" t="s">
        <v>514</v>
      </c>
      <c r="E24" s="48" t="s">
        <v>4121</v>
      </c>
      <c r="F24" s="47" t="s">
        <v>4122</v>
      </c>
      <c r="G24" s="47" t="s">
        <v>4123</v>
      </c>
      <c r="H24" s="47" t="s">
        <v>4124</v>
      </c>
      <c r="I24" s="47" t="s">
        <v>3987</v>
      </c>
      <c r="J24" s="47" t="s">
        <v>3987</v>
      </c>
      <c r="K24" s="47" t="s">
        <v>4125</v>
      </c>
      <c r="L24" s="47" t="s">
        <v>568</v>
      </c>
      <c r="M24" s="47" t="s">
        <v>3989</v>
      </c>
      <c r="N24" s="33" t="str">
        <f>HYPERLINK("http://services.igi-global.com/resolvedoi/resolve.aspx?doi=10.4018/978-1-61692-889-6")</f>
        <v>http://services.igi-global.com/resolvedoi/resolve.aspx?doi=10.4018/978-1-61692-889-6</v>
      </c>
    </row>
    <row r="25" spans="1:14">
      <c r="A25" s="47">
        <v>24</v>
      </c>
      <c r="B25" s="47" t="s">
        <v>571</v>
      </c>
      <c r="C25" s="47" t="s">
        <v>567</v>
      </c>
      <c r="D25" s="48" t="s">
        <v>493</v>
      </c>
      <c r="E25" s="48" t="s">
        <v>4781</v>
      </c>
      <c r="F25" s="47" t="s">
        <v>4782</v>
      </c>
      <c r="G25" s="47" t="s">
        <v>4783</v>
      </c>
      <c r="H25" s="47" t="s">
        <v>4784</v>
      </c>
      <c r="I25" s="47" t="s">
        <v>3987</v>
      </c>
      <c r="J25" s="47" t="s">
        <v>3987</v>
      </c>
      <c r="K25" s="47" t="s">
        <v>4785</v>
      </c>
      <c r="L25" s="47" t="s">
        <v>569</v>
      </c>
      <c r="M25" s="47" t="s">
        <v>3989</v>
      </c>
      <c r="N25" s="33" t="str">
        <f>HYPERLINK("http://services.igi-global.com/resolvedoi/resolve.aspx?doi=10.4018/978-1-61520-819-7")</f>
        <v>http://services.igi-global.com/resolvedoi/resolve.aspx?doi=10.4018/978-1-61520-819-7</v>
      </c>
    </row>
    <row r="26" spans="1:14">
      <c r="A26" s="47">
        <v>25</v>
      </c>
      <c r="B26" s="47" t="s">
        <v>571</v>
      </c>
      <c r="C26" s="47" t="s">
        <v>567</v>
      </c>
      <c r="D26" s="48" t="s">
        <v>515</v>
      </c>
      <c r="E26" s="48" t="s">
        <v>4126</v>
      </c>
      <c r="F26" s="47" t="s">
        <v>4127</v>
      </c>
      <c r="G26" s="47" t="s">
        <v>4128</v>
      </c>
      <c r="H26" s="47" t="s">
        <v>4129</v>
      </c>
      <c r="I26" s="47" t="s">
        <v>3987</v>
      </c>
      <c r="J26" s="47" t="s">
        <v>3987</v>
      </c>
      <c r="K26" s="47" t="s">
        <v>4130</v>
      </c>
      <c r="L26" s="47" t="s">
        <v>568</v>
      </c>
      <c r="M26" s="47" t="s">
        <v>3989</v>
      </c>
      <c r="N26" s="33" t="str">
        <f>HYPERLINK("http://services.igi-global.com/resolvedoi/resolve.aspx?doi=10.4018/978-1-61520-633-9")</f>
        <v>http://services.igi-global.com/resolvedoi/resolve.aspx?doi=10.4018/978-1-61520-633-9</v>
      </c>
    </row>
    <row r="27" spans="1:14">
      <c r="A27" s="47">
        <v>26</v>
      </c>
      <c r="B27" s="47" t="s">
        <v>571</v>
      </c>
      <c r="C27" s="47" t="s">
        <v>567</v>
      </c>
      <c r="D27" s="48" t="s">
        <v>492</v>
      </c>
      <c r="E27" s="48" t="s">
        <v>4131</v>
      </c>
      <c r="F27" s="47" t="s">
        <v>4132</v>
      </c>
      <c r="G27" s="47" t="s">
        <v>4133</v>
      </c>
      <c r="H27" s="47" t="s">
        <v>4134</v>
      </c>
      <c r="I27" s="47" t="s">
        <v>3987</v>
      </c>
      <c r="J27" s="47" t="s">
        <v>3987</v>
      </c>
      <c r="K27" s="47" t="s">
        <v>547</v>
      </c>
      <c r="L27" s="47" t="s">
        <v>568</v>
      </c>
      <c r="M27" s="47" t="s">
        <v>3989</v>
      </c>
      <c r="N27" s="33" t="str">
        <f>HYPERLINK("http://services.igi-global.com/resolvedoi/resolve.aspx?doi=10.4018/978-1-60960-135-5")</f>
        <v>http://services.igi-global.com/resolvedoi/resolve.aspx?doi=10.4018/978-1-60960-135-5</v>
      </c>
    </row>
    <row r="28" spans="1:14">
      <c r="A28" s="47">
        <v>27</v>
      </c>
      <c r="B28" s="47" t="s">
        <v>571</v>
      </c>
      <c r="C28" s="47" t="s">
        <v>567</v>
      </c>
      <c r="D28" s="48" t="s">
        <v>489</v>
      </c>
      <c r="E28" s="48" t="s">
        <v>4135</v>
      </c>
      <c r="F28" s="47" t="s">
        <v>4136</v>
      </c>
      <c r="G28" s="47" t="s">
        <v>4137</v>
      </c>
      <c r="H28" s="47" t="s">
        <v>4138</v>
      </c>
      <c r="I28" s="47" t="s">
        <v>3987</v>
      </c>
      <c r="J28" s="47" t="s">
        <v>3987</v>
      </c>
      <c r="K28" s="47" t="s">
        <v>548</v>
      </c>
      <c r="L28" s="47" t="s">
        <v>568</v>
      </c>
      <c r="M28" s="47" t="s">
        <v>3989</v>
      </c>
      <c r="N28" s="33" t="str">
        <f>HYPERLINK("http://services.igi-global.com/resolvedoi/resolve.aspx?doi=10.4018/978-1-61692-808-7")</f>
        <v>http://services.igi-global.com/resolvedoi/resolve.aspx?doi=10.4018/978-1-61692-808-7</v>
      </c>
    </row>
    <row r="29" spans="1:14">
      <c r="A29" s="47">
        <v>28</v>
      </c>
      <c r="B29" s="47" t="s">
        <v>571</v>
      </c>
      <c r="C29" s="47" t="s">
        <v>567</v>
      </c>
      <c r="D29" s="48" t="s">
        <v>4001</v>
      </c>
      <c r="E29" s="48" t="s">
        <v>4002</v>
      </c>
      <c r="F29" s="47" t="s">
        <v>4003</v>
      </c>
      <c r="G29" s="47" t="s">
        <v>4004</v>
      </c>
      <c r="H29" s="47" t="s">
        <v>4005</v>
      </c>
      <c r="I29" s="47" t="s">
        <v>3987</v>
      </c>
      <c r="J29" s="47" t="s">
        <v>3987</v>
      </c>
      <c r="K29" s="47" t="s">
        <v>4006</v>
      </c>
      <c r="L29" s="47" t="s">
        <v>568</v>
      </c>
      <c r="M29" s="47" t="s">
        <v>4007</v>
      </c>
      <c r="N29" s="33" t="str">
        <f>HYPERLINK("http://services.igi-global.com/resolvedoi/resolve.aspx?doi=10.4018/978-1-61520-609-4")</f>
        <v>http://services.igi-global.com/resolvedoi/resolve.aspx?doi=10.4018/978-1-61520-609-4</v>
      </c>
    </row>
    <row r="30" spans="1:14">
      <c r="A30" s="47">
        <v>29</v>
      </c>
      <c r="B30" s="47" t="s">
        <v>571</v>
      </c>
      <c r="C30" s="47" t="s">
        <v>567</v>
      </c>
      <c r="D30" s="48" t="s">
        <v>489</v>
      </c>
      <c r="E30" s="48" t="s">
        <v>4737</v>
      </c>
      <c r="F30" s="47" t="s">
        <v>4738</v>
      </c>
      <c r="G30" s="47" t="s">
        <v>4739</v>
      </c>
      <c r="H30" s="47" t="s">
        <v>4740</v>
      </c>
      <c r="I30" s="47" t="s">
        <v>3987</v>
      </c>
      <c r="J30" s="47" t="s">
        <v>3987</v>
      </c>
      <c r="K30" s="47" t="s">
        <v>2596</v>
      </c>
      <c r="L30" s="47" t="s">
        <v>569</v>
      </c>
      <c r="M30" s="47" t="s">
        <v>4007</v>
      </c>
      <c r="N30" s="33" t="str">
        <f>HYPERLINK("http://services.igi-global.com/resolvedoi/resolve.aspx?doi=10.4018/978-1-60566-964-9")</f>
        <v>http://services.igi-global.com/resolvedoi/resolve.aspx?doi=10.4018/978-1-60566-964-9</v>
      </c>
    </row>
    <row r="31" spans="1:14">
      <c r="A31" s="47">
        <v>30</v>
      </c>
      <c r="B31" s="47" t="s">
        <v>571</v>
      </c>
      <c r="C31" s="47" t="s">
        <v>567</v>
      </c>
      <c r="D31" s="48" t="s">
        <v>489</v>
      </c>
      <c r="E31" s="48" t="s">
        <v>4741</v>
      </c>
      <c r="F31" s="47" t="s">
        <v>4742</v>
      </c>
      <c r="G31" s="47" t="s">
        <v>4743</v>
      </c>
      <c r="H31" s="47" t="s">
        <v>4744</v>
      </c>
      <c r="I31" s="47" t="s">
        <v>4745</v>
      </c>
      <c r="J31" s="47" t="s">
        <v>3987</v>
      </c>
      <c r="K31" s="47" t="s">
        <v>4746</v>
      </c>
      <c r="L31" s="47" t="s">
        <v>569</v>
      </c>
      <c r="M31" s="47" t="s">
        <v>4007</v>
      </c>
      <c r="N31" s="33" t="str">
        <f>HYPERLINK("http://services.igi-global.com/resolvedoi/resolve.aspx?doi=10.4018/978-1-61520-967-5")</f>
        <v>http://services.igi-global.com/resolvedoi/resolve.aspx?doi=10.4018/978-1-61520-967-5</v>
      </c>
    </row>
    <row r="32" spans="1:14">
      <c r="A32" s="47">
        <v>31</v>
      </c>
      <c r="B32" s="47" t="s">
        <v>571</v>
      </c>
      <c r="C32" s="47" t="s">
        <v>567</v>
      </c>
      <c r="D32" s="48" t="s">
        <v>1917</v>
      </c>
      <c r="E32" s="48" t="s">
        <v>4747</v>
      </c>
      <c r="F32" s="47" t="s">
        <v>4748</v>
      </c>
      <c r="G32" s="47" t="s">
        <v>4749</v>
      </c>
      <c r="H32" s="47" t="s">
        <v>4750</v>
      </c>
      <c r="I32" s="47" t="s">
        <v>4745</v>
      </c>
      <c r="J32" s="47" t="s">
        <v>3987</v>
      </c>
      <c r="K32" s="47" t="s">
        <v>578</v>
      </c>
      <c r="L32" s="47" t="s">
        <v>568</v>
      </c>
      <c r="M32" s="47" t="s">
        <v>4007</v>
      </c>
      <c r="N32" s="33" t="str">
        <f>HYPERLINK("http://services.igi-global.com/resolvedoi/resolve.aspx?doi=10.4018/978-1-61520-611-7")</f>
        <v>http://services.igi-global.com/resolvedoi/resolve.aspx?doi=10.4018/978-1-61520-611-7</v>
      </c>
    </row>
    <row r="33" spans="1:14">
      <c r="A33" s="47">
        <v>32</v>
      </c>
      <c r="B33" s="47" t="s">
        <v>571</v>
      </c>
      <c r="C33" s="47" t="s">
        <v>567</v>
      </c>
      <c r="D33" s="48" t="s">
        <v>4088</v>
      </c>
      <c r="E33" s="48" t="s">
        <v>4089</v>
      </c>
      <c r="F33" s="47" t="s">
        <v>4090</v>
      </c>
      <c r="G33" s="47" t="s">
        <v>4091</v>
      </c>
      <c r="H33" s="47" t="s">
        <v>4092</v>
      </c>
      <c r="I33" s="47" t="s">
        <v>3987</v>
      </c>
      <c r="J33" s="47" t="s">
        <v>3987</v>
      </c>
      <c r="K33" s="47" t="s">
        <v>4093</v>
      </c>
      <c r="L33" s="47" t="s">
        <v>568</v>
      </c>
      <c r="M33" s="47" t="s">
        <v>4007</v>
      </c>
      <c r="N33" s="33" t="str">
        <f>HYPERLINK("http://services.igi-global.com/resolvedoi/resolve.aspx?doi=10.4018/978-1-60566-074-5")</f>
        <v>http://services.igi-global.com/resolvedoi/resolve.aspx?doi=10.4018/978-1-60566-074-5</v>
      </c>
    </row>
    <row r="34" spans="1:14">
      <c r="A34" s="47">
        <v>33</v>
      </c>
      <c r="B34" s="47" t="s">
        <v>571</v>
      </c>
      <c r="C34" s="47" t="s">
        <v>567</v>
      </c>
      <c r="D34" s="48" t="s">
        <v>4761</v>
      </c>
      <c r="E34" s="48" t="s">
        <v>4762</v>
      </c>
      <c r="F34" s="47" t="s">
        <v>4763</v>
      </c>
      <c r="G34" s="47" t="s">
        <v>4764</v>
      </c>
      <c r="H34" s="47" t="s">
        <v>4765</v>
      </c>
      <c r="I34" s="47" t="s">
        <v>3987</v>
      </c>
      <c r="J34" s="47" t="s">
        <v>3987</v>
      </c>
      <c r="K34" s="47" t="s">
        <v>4766</v>
      </c>
      <c r="L34" s="47" t="s">
        <v>568</v>
      </c>
      <c r="M34" s="47" t="s">
        <v>4007</v>
      </c>
      <c r="N34" s="33" t="str">
        <f>HYPERLINK("http://services.igi-global.com/resolvedoi/resolve.aspx?doi=10.4018/978-1-61520-643-8")</f>
        <v>http://services.igi-global.com/resolvedoi/resolve.aspx?doi=10.4018/978-1-61520-643-8</v>
      </c>
    </row>
    <row r="35" spans="1:14">
      <c r="A35" s="47">
        <v>34</v>
      </c>
      <c r="B35" s="47" t="s">
        <v>571</v>
      </c>
      <c r="C35" s="47" t="s">
        <v>567</v>
      </c>
      <c r="D35" s="48" t="s">
        <v>4098</v>
      </c>
      <c r="E35" s="48" t="s">
        <v>4099</v>
      </c>
      <c r="F35" s="47" t="s">
        <v>4100</v>
      </c>
      <c r="G35" s="47" t="s">
        <v>4101</v>
      </c>
      <c r="H35" s="47" t="s">
        <v>4102</v>
      </c>
      <c r="I35" s="47" t="s">
        <v>3987</v>
      </c>
      <c r="J35" s="47" t="s">
        <v>3987</v>
      </c>
      <c r="K35" s="47" t="s">
        <v>547</v>
      </c>
      <c r="L35" s="47" t="s">
        <v>568</v>
      </c>
      <c r="M35" s="47" t="s">
        <v>4007</v>
      </c>
      <c r="N35" s="33" t="str">
        <f>HYPERLINK("http://services.igi-global.com/resolvedoi/resolve.aspx?doi=10.4018/978-1-60566-974-8")</f>
        <v>http://services.igi-global.com/resolvedoi/resolve.aspx?doi=10.4018/978-1-60566-974-8</v>
      </c>
    </row>
    <row r="36" spans="1:14">
      <c r="A36" s="47">
        <v>35</v>
      </c>
      <c r="B36" s="47" t="s">
        <v>571</v>
      </c>
      <c r="C36" s="47" t="s">
        <v>567</v>
      </c>
      <c r="D36" s="48" t="s">
        <v>4103</v>
      </c>
      <c r="E36" s="48" t="s">
        <v>4104</v>
      </c>
      <c r="F36" s="47" t="s">
        <v>4105</v>
      </c>
      <c r="G36" s="47" t="s">
        <v>4106</v>
      </c>
      <c r="H36" s="47" t="s">
        <v>4107</v>
      </c>
      <c r="I36" s="47" t="s">
        <v>3987</v>
      </c>
      <c r="J36" s="47" t="s">
        <v>3987</v>
      </c>
      <c r="K36" s="47" t="s">
        <v>4108</v>
      </c>
      <c r="L36" s="47" t="s">
        <v>568</v>
      </c>
      <c r="M36" s="47" t="s">
        <v>4007</v>
      </c>
      <c r="N36" s="33" t="str">
        <f>HYPERLINK("http://services.igi-global.com/resolvedoi/resolve.aspx?doi=10.4018/978-1-61520-605-6")</f>
        <v>http://services.igi-global.com/resolvedoi/resolve.aspx?doi=10.4018/978-1-61520-605-6</v>
      </c>
    </row>
    <row r="37" spans="1:14">
      <c r="A37" s="47">
        <v>36</v>
      </c>
      <c r="B37" s="47" t="s">
        <v>571</v>
      </c>
      <c r="C37" s="47" t="s">
        <v>567</v>
      </c>
      <c r="D37" s="48" t="s">
        <v>492</v>
      </c>
      <c r="E37" s="48" t="s">
        <v>4776</v>
      </c>
      <c r="F37" s="47" t="s">
        <v>4777</v>
      </c>
      <c r="G37" s="47" t="s">
        <v>4778</v>
      </c>
      <c r="H37" s="47" t="s">
        <v>4779</v>
      </c>
      <c r="I37" s="47" t="s">
        <v>3987</v>
      </c>
      <c r="J37" s="47" t="s">
        <v>3987</v>
      </c>
      <c r="K37" s="47" t="s">
        <v>4780</v>
      </c>
      <c r="L37" s="47" t="s">
        <v>568</v>
      </c>
      <c r="M37" s="47" t="s">
        <v>4007</v>
      </c>
      <c r="N37" s="33" t="str">
        <f>HYPERLINK("http://services.igi-global.com/resolvedoi/resolve.aspx?doi=10.4018/978-1-61520-607-0")</f>
        <v>http://services.igi-global.com/resolvedoi/resolve.aspx?doi=10.4018/978-1-61520-607-0</v>
      </c>
    </row>
    <row r="38" spans="1:14">
      <c r="A38" s="47">
        <v>37</v>
      </c>
      <c r="B38" s="47" t="s">
        <v>571</v>
      </c>
      <c r="C38" s="47" t="s">
        <v>567</v>
      </c>
      <c r="D38" s="48" t="s">
        <v>4073</v>
      </c>
      <c r="E38" s="48" t="s">
        <v>4074</v>
      </c>
      <c r="F38" s="47" t="s">
        <v>4075</v>
      </c>
      <c r="G38" s="47" t="s">
        <v>4076</v>
      </c>
      <c r="H38" s="47" t="s">
        <v>4077</v>
      </c>
      <c r="I38" s="47" t="s">
        <v>3987</v>
      </c>
      <c r="J38" s="47" t="s">
        <v>3987</v>
      </c>
      <c r="K38" s="47" t="s">
        <v>546</v>
      </c>
      <c r="L38" s="47" t="s">
        <v>568</v>
      </c>
      <c r="M38" s="47" t="s">
        <v>4007</v>
      </c>
      <c r="N38" s="33" t="str">
        <f>HYPERLINK("http://services.igi-global.com/resolvedoi/resolve.aspx?doi=10.4018/978-1-61520-603-2")</f>
        <v>http://services.igi-global.com/resolvedoi/resolve.aspx?doi=10.4018/978-1-61520-603-2</v>
      </c>
    </row>
    <row r="39" spans="1:14">
      <c r="A39" s="47">
        <v>38</v>
      </c>
      <c r="B39" s="47" t="s">
        <v>571</v>
      </c>
      <c r="C39" s="47" t="s">
        <v>567</v>
      </c>
      <c r="D39" s="48" t="s">
        <v>4786</v>
      </c>
      <c r="E39" s="48" t="s">
        <v>4787</v>
      </c>
      <c r="F39" s="47" t="s">
        <v>4788</v>
      </c>
      <c r="G39" s="47" t="s">
        <v>4789</v>
      </c>
      <c r="H39" s="47" t="s">
        <v>4790</v>
      </c>
      <c r="I39" s="47" t="s">
        <v>3987</v>
      </c>
      <c r="J39" s="47" t="s">
        <v>3987</v>
      </c>
      <c r="K39" s="47" t="s">
        <v>4791</v>
      </c>
      <c r="L39" s="47" t="s">
        <v>569</v>
      </c>
      <c r="M39" s="47" t="s">
        <v>4007</v>
      </c>
      <c r="N39" s="33" t="str">
        <f>HYPERLINK("http://services.igi-global.com/resolvedoi/resolve.aspx?doi=10.4018/978-1-60566-818-5")</f>
        <v>http://services.igi-global.com/resolvedoi/resolve.aspx?doi=10.4018/978-1-60566-818-5</v>
      </c>
    </row>
    <row r="40" spans="1:14">
      <c r="A40" s="47">
        <v>39</v>
      </c>
      <c r="B40" s="47" t="s">
        <v>571</v>
      </c>
      <c r="C40" s="47" t="s">
        <v>567</v>
      </c>
      <c r="D40" s="48" t="s">
        <v>513</v>
      </c>
      <c r="E40" s="48" t="s">
        <v>4028</v>
      </c>
      <c r="F40" s="47" t="s">
        <v>4029</v>
      </c>
      <c r="G40" s="47" t="s">
        <v>4030</v>
      </c>
      <c r="H40" s="47" t="s">
        <v>4031</v>
      </c>
      <c r="I40" s="47" t="s">
        <v>3987</v>
      </c>
      <c r="J40" s="47" t="s">
        <v>3987</v>
      </c>
      <c r="K40" s="47" t="s">
        <v>4032</v>
      </c>
      <c r="L40" s="47" t="s">
        <v>569</v>
      </c>
      <c r="M40" s="47" t="s">
        <v>4033</v>
      </c>
      <c r="N40" s="33" t="str">
        <f>HYPERLINK("http://services.igi-global.com/resolvedoi/resolve.aspx?doi=10.4018/978-1-60566-118-6")</f>
        <v>http://services.igi-global.com/resolvedoi/resolve.aspx?doi=10.4018/978-1-60566-118-6</v>
      </c>
    </row>
    <row r="41" spans="1:14">
      <c r="A41" s="47">
        <v>40</v>
      </c>
      <c r="B41" s="47" t="s">
        <v>571</v>
      </c>
      <c r="C41" s="47" t="s">
        <v>567</v>
      </c>
      <c r="D41" s="48" t="s">
        <v>489</v>
      </c>
      <c r="E41" s="48" t="s">
        <v>4109</v>
      </c>
      <c r="F41" s="47" t="s">
        <v>4110</v>
      </c>
      <c r="G41" s="47" t="s">
        <v>4111</v>
      </c>
      <c r="H41" s="47" t="s">
        <v>4112</v>
      </c>
      <c r="I41" s="47" t="s">
        <v>3987</v>
      </c>
      <c r="J41" s="47" t="s">
        <v>3987</v>
      </c>
      <c r="K41" s="47" t="s">
        <v>4113</v>
      </c>
      <c r="L41" s="47" t="s">
        <v>569</v>
      </c>
      <c r="M41" s="47" t="s">
        <v>4033</v>
      </c>
      <c r="N41" s="33" t="str">
        <f>HYPERLINK("http://services.igi-global.com/resolvedoi/resolve.aspx?doi=10.4018/978-1-60566-366-1")</f>
        <v>http://services.igi-global.com/resolvedoi/resolve.aspx?doi=10.4018/978-1-60566-366-1</v>
      </c>
    </row>
    <row r="42" spans="1:14">
      <c r="A42" s="47">
        <v>41</v>
      </c>
      <c r="B42" s="47" t="s">
        <v>571</v>
      </c>
      <c r="C42" s="47" t="s">
        <v>567</v>
      </c>
      <c r="D42" s="48" t="s">
        <v>490</v>
      </c>
      <c r="E42" s="48" t="s">
        <v>4751</v>
      </c>
      <c r="F42" s="47" t="s">
        <v>4752</v>
      </c>
      <c r="G42" s="47" t="s">
        <v>4753</v>
      </c>
      <c r="H42" s="47" t="s">
        <v>4754</v>
      </c>
      <c r="I42" s="47" t="s">
        <v>3987</v>
      </c>
      <c r="J42" s="47" t="s">
        <v>3987</v>
      </c>
      <c r="K42" s="47" t="s">
        <v>4755</v>
      </c>
      <c r="L42" s="47" t="s">
        <v>4119</v>
      </c>
      <c r="M42" s="47" t="s">
        <v>4153</v>
      </c>
      <c r="N42" s="33" t="str">
        <f>HYPERLINK("http://services.igi-global.com/resolvedoi/resolve.aspx?doi=10.4018/978-1-59904-968-7")</f>
        <v>http://services.igi-global.com/resolvedoi/resolve.aspx?doi=10.4018/978-1-59904-968-7</v>
      </c>
    </row>
    <row r="43" spans="1:14">
      <c r="A43" s="47">
        <v>42</v>
      </c>
      <c r="B43" s="47" t="s">
        <v>571</v>
      </c>
      <c r="C43" s="47" t="s">
        <v>567</v>
      </c>
      <c r="D43" s="48" t="s">
        <v>492</v>
      </c>
      <c r="E43" s="48" t="s">
        <v>4114</v>
      </c>
      <c r="F43" s="47" t="s">
        <v>4115</v>
      </c>
      <c r="G43" s="47" t="s">
        <v>4116</v>
      </c>
      <c r="H43" s="47" t="s">
        <v>4117</v>
      </c>
      <c r="I43" s="47" t="s">
        <v>3987</v>
      </c>
      <c r="J43" s="47" t="s">
        <v>3987</v>
      </c>
      <c r="K43" s="47" t="s">
        <v>4118</v>
      </c>
      <c r="L43" s="47" t="s">
        <v>4119</v>
      </c>
      <c r="M43" s="47" t="s">
        <v>4120</v>
      </c>
      <c r="N43" s="33" t="str">
        <f>HYPERLINK("http://services.igi-global.com/resolvedoi/resolve.aspx?doi=10.4018/978-1-59140-899-4")</f>
        <v>http://services.igi-global.com/resolvedoi/resolve.aspx?doi=10.4018/978-1-59140-899-4</v>
      </c>
    </row>
    <row r="44" spans="1:14">
      <c r="A44" s="47">
        <v>43</v>
      </c>
      <c r="B44" s="47" t="s">
        <v>571</v>
      </c>
      <c r="C44" s="47" t="s">
        <v>549</v>
      </c>
      <c r="D44" s="48" t="s">
        <v>494</v>
      </c>
      <c r="E44" s="48" t="s">
        <v>4145</v>
      </c>
      <c r="F44" s="47" t="s">
        <v>4146</v>
      </c>
      <c r="G44" s="47" t="s">
        <v>4147</v>
      </c>
      <c r="H44" s="47" t="s">
        <v>4148</v>
      </c>
      <c r="I44" s="47" t="s">
        <v>3987</v>
      </c>
      <c r="J44" s="47" t="s">
        <v>3987</v>
      </c>
      <c r="K44" s="47" t="s">
        <v>550</v>
      </c>
      <c r="L44" s="47" t="s">
        <v>569</v>
      </c>
      <c r="M44" s="47" t="s">
        <v>3989</v>
      </c>
      <c r="N44" s="33" t="str">
        <f>HYPERLINK("http://services.igi-global.com/resolvedoi/resolve.aspx?doi=10.4018/978-1-60960-475-2")</f>
        <v>http://services.igi-global.com/resolvedoi/resolve.aspx?doi=10.4018/978-1-60960-475-2</v>
      </c>
    </row>
    <row r="45" spans="1:14">
      <c r="A45" s="47">
        <v>44</v>
      </c>
      <c r="B45" s="47" t="s">
        <v>571</v>
      </c>
      <c r="C45" s="47" t="s">
        <v>549</v>
      </c>
      <c r="D45" s="48" t="s">
        <v>516</v>
      </c>
      <c r="E45" s="48" t="s">
        <v>4170</v>
      </c>
      <c r="F45" s="47" t="s">
        <v>4171</v>
      </c>
      <c r="G45" s="47" t="s">
        <v>4172</v>
      </c>
      <c r="H45" s="47" t="s">
        <v>4173</v>
      </c>
      <c r="I45" s="47" t="s">
        <v>3987</v>
      </c>
      <c r="J45" s="47" t="s">
        <v>3987</v>
      </c>
      <c r="K45" s="47" t="s">
        <v>551</v>
      </c>
      <c r="L45" s="47" t="s">
        <v>569</v>
      </c>
      <c r="M45" s="47" t="s">
        <v>3989</v>
      </c>
      <c r="N45" s="33" t="str">
        <f>HYPERLINK("http://services.igi-global.com/resolvedoi/resolve.aspx?doi=10.4018/978-1-60960-537-7")</f>
        <v>http://services.igi-global.com/resolvedoi/resolve.aspx?doi=10.4018/978-1-60960-537-7</v>
      </c>
    </row>
    <row r="46" spans="1:14">
      <c r="A46" s="47">
        <v>45</v>
      </c>
      <c r="B46" s="47" t="s">
        <v>571</v>
      </c>
      <c r="C46" s="47" t="s">
        <v>549</v>
      </c>
      <c r="D46" s="48" t="s">
        <v>516</v>
      </c>
      <c r="E46" s="48" t="s">
        <v>4184</v>
      </c>
      <c r="F46" s="47" t="s">
        <v>4185</v>
      </c>
      <c r="G46" s="47" t="s">
        <v>4186</v>
      </c>
      <c r="H46" s="47" t="s">
        <v>4187</v>
      </c>
      <c r="I46" s="47" t="s">
        <v>3987</v>
      </c>
      <c r="J46" s="47" t="s">
        <v>3987</v>
      </c>
      <c r="K46" s="47" t="s">
        <v>552</v>
      </c>
      <c r="L46" s="47" t="s">
        <v>569</v>
      </c>
      <c r="M46" s="47" t="s">
        <v>3989</v>
      </c>
      <c r="N46" s="33" t="str">
        <f>HYPERLINK("http://services.igi-global.com/resolvedoi/resolve.aspx?doi=10.4018/978-1-60960-067-9")</f>
        <v>http://services.igi-global.com/resolvedoi/resolve.aspx?doi=10.4018/978-1-60960-067-9</v>
      </c>
    </row>
    <row r="47" spans="1:14">
      <c r="A47" s="47">
        <v>46</v>
      </c>
      <c r="B47" s="47" t="s">
        <v>571</v>
      </c>
      <c r="C47" s="47" t="s">
        <v>549</v>
      </c>
      <c r="D47" s="48" t="s">
        <v>491</v>
      </c>
      <c r="E47" s="48" t="s">
        <v>4204</v>
      </c>
      <c r="F47" s="47" t="s">
        <v>4205</v>
      </c>
      <c r="G47" s="47" t="s">
        <v>4206</v>
      </c>
      <c r="H47" s="47" t="s">
        <v>4207</v>
      </c>
      <c r="I47" s="47" t="s">
        <v>3987</v>
      </c>
      <c r="J47" s="47" t="s">
        <v>3987</v>
      </c>
      <c r="K47" s="47" t="s">
        <v>553</v>
      </c>
      <c r="L47" s="47" t="s">
        <v>569</v>
      </c>
      <c r="M47" s="47" t="s">
        <v>3989</v>
      </c>
      <c r="N47" s="33" t="str">
        <f>HYPERLINK("http://services.igi-global.com/resolvedoi/resolve.aspx?doi=10.4018/978-1-60960-521-6")</f>
        <v>http://services.igi-global.com/resolvedoi/resolve.aspx?doi=10.4018/978-1-60960-521-6</v>
      </c>
    </row>
    <row r="48" spans="1:14">
      <c r="A48" s="47">
        <v>47</v>
      </c>
      <c r="B48" s="47" t="s">
        <v>571</v>
      </c>
      <c r="C48" s="47" t="s">
        <v>549</v>
      </c>
      <c r="D48" s="48" t="s">
        <v>516</v>
      </c>
      <c r="E48" s="48" t="s">
        <v>4208</v>
      </c>
      <c r="F48" s="47" t="s">
        <v>4209</v>
      </c>
      <c r="G48" s="47" t="s">
        <v>4210</v>
      </c>
      <c r="H48" s="47" t="s">
        <v>4211</v>
      </c>
      <c r="I48" s="47" t="s">
        <v>3987</v>
      </c>
      <c r="J48" s="47" t="s">
        <v>3987</v>
      </c>
      <c r="K48" s="47" t="s">
        <v>4212</v>
      </c>
      <c r="L48" s="47" t="s">
        <v>569</v>
      </c>
      <c r="M48" s="47" t="s">
        <v>3989</v>
      </c>
      <c r="N48" s="33" t="str">
        <f>HYPERLINK("http://services.igi-global.com/resolvedoi/resolve.aspx?doi=10.4018/978-1-60960-102-7")</f>
        <v>http://services.igi-global.com/resolvedoi/resolve.aspx?doi=10.4018/978-1-60960-102-7</v>
      </c>
    </row>
    <row r="49" spans="1:14">
      <c r="A49" s="47">
        <v>48</v>
      </c>
      <c r="B49" s="47" t="s">
        <v>571</v>
      </c>
      <c r="C49" s="47" t="s">
        <v>549</v>
      </c>
      <c r="D49" s="48" t="s">
        <v>4139</v>
      </c>
      <c r="E49" s="48" t="s">
        <v>4140</v>
      </c>
      <c r="F49" s="47" t="s">
        <v>4141</v>
      </c>
      <c r="G49" s="47" t="s">
        <v>4142</v>
      </c>
      <c r="H49" s="47" t="s">
        <v>4143</v>
      </c>
      <c r="I49" s="47" t="s">
        <v>3987</v>
      </c>
      <c r="J49" s="47" t="s">
        <v>3987</v>
      </c>
      <c r="K49" s="47" t="s">
        <v>4144</v>
      </c>
      <c r="L49" s="47" t="s">
        <v>569</v>
      </c>
      <c r="M49" s="47" t="s">
        <v>4007</v>
      </c>
      <c r="N49" s="33" t="str">
        <f>HYPERLINK("http://services.igi-global.com/resolvedoi/resolve.aspx?doi=10.4018/978-1-61520-727-5")</f>
        <v>http://services.igi-global.com/resolvedoi/resolve.aspx?doi=10.4018/978-1-61520-727-5</v>
      </c>
    </row>
    <row r="50" spans="1:14">
      <c r="A50" s="47">
        <v>49</v>
      </c>
      <c r="B50" s="47" t="s">
        <v>571</v>
      </c>
      <c r="C50" s="47" t="s">
        <v>549</v>
      </c>
      <c r="D50" s="48" t="s">
        <v>494</v>
      </c>
      <c r="E50" s="48" t="s">
        <v>4792</v>
      </c>
      <c r="F50" s="47" t="s">
        <v>4793</v>
      </c>
      <c r="G50" s="47" t="s">
        <v>4794</v>
      </c>
      <c r="H50" s="47" t="s">
        <v>4795</v>
      </c>
      <c r="I50" s="47" t="s">
        <v>3987</v>
      </c>
      <c r="J50" s="47" t="s">
        <v>3987</v>
      </c>
      <c r="K50" s="47" t="s">
        <v>4796</v>
      </c>
      <c r="L50" s="47" t="s">
        <v>569</v>
      </c>
      <c r="M50" s="47" t="s">
        <v>4007</v>
      </c>
      <c r="N50" s="33" t="str">
        <f>HYPERLINK("http://services.igi-global.com/resolvedoi/resolve.aspx?doi=10.4018/978-1-60566-748-5")</f>
        <v>http://services.igi-global.com/resolvedoi/resolve.aspx?doi=10.4018/978-1-60566-748-5</v>
      </c>
    </row>
    <row r="51" spans="1:14">
      <c r="A51" s="47">
        <v>50</v>
      </c>
      <c r="B51" s="47" t="s">
        <v>571</v>
      </c>
      <c r="C51" s="47" t="s">
        <v>549</v>
      </c>
      <c r="D51" s="48" t="s">
        <v>516</v>
      </c>
      <c r="E51" s="48" t="s">
        <v>4154</v>
      </c>
      <c r="F51" s="47" t="s">
        <v>4155</v>
      </c>
      <c r="G51" s="47" t="s">
        <v>4156</v>
      </c>
      <c r="H51" s="47" t="s">
        <v>4157</v>
      </c>
      <c r="I51" s="47" t="s">
        <v>3987</v>
      </c>
      <c r="J51" s="47" t="s">
        <v>3987</v>
      </c>
      <c r="K51" s="47" t="s">
        <v>4158</v>
      </c>
      <c r="L51" s="47" t="s">
        <v>569</v>
      </c>
      <c r="M51" s="47" t="s">
        <v>4007</v>
      </c>
      <c r="N51" s="33" t="str">
        <f>HYPERLINK("http://services.igi-global.com/resolvedoi/resolve.aspx?doi=10.4018/978-1-60566-906-9")</f>
        <v>http://services.igi-global.com/resolvedoi/resolve.aspx?doi=10.4018/978-1-60566-906-9</v>
      </c>
    </row>
    <row r="52" spans="1:14">
      <c r="A52" s="47">
        <v>51</v>
      </c>
      <c r="B52" s="47" t="s">
        <v>571</v>
      </c>
      <c r="C52" s="47" t="s">
        <v>549</v>
      </c>
      <c r="D52" s="48" t="s">
        <v>4164</v>
      </c>
      <c r="E52" s="48" t="s">
        <v>4165</v>
      </c>
      <c r="F52" s="47" t="s">
        <v>4166</v>
      </c>
      <c r="G52" s="47" t="s">
        <v>4167</v>
      </c>
      <c r="H52" s="47" t="s">
        <v>4168</v>
      </c>
      <c r="I52" s="47" t="s">
        <v>3987</v>
      </c>
      <c r="J52" s="47" t="s">
        <v>3987</v>
      </c>
      <c r="K52" s="47" t="s">
        <v>4169</v>
      </c>
      <c r="L52" s="47" t="s">
        <v>569</v>
      </c>
      <c r="M52" s="47" t="s">
        <v>4007</v>
      </c>
      <c r="N52" s="33" t="str">
        <f>HYPERLINK("http://services.igi-global.com/resolvedoi/resolve.aspx?doi=10.4018/978-1-60566-756-0")</f>
        <v>http://services.igi-global.com/resolvedoi/resolve.aspx?doi=10.4018/978-1-60566-756-0</v>
      </c>
    </row>
    <row r="53" spans="1:14">
      <c r="A53" s="47">
        <v>52</v>
      </c>
      <c r="B53" s="47" t="s">
        <v>571</v>
      </c>
      <c r="C53" s="47" t="s">
        <v>549</v>
      </c>
      <c r="D53" s="48" t="s">
        <v>2092</v>
      </c>
      <c r="E53" s="48" t="s">
        <v>4797</v>
      </c>
      <c r="F53" s="47" t="s">
        <v>4798</v>
      </c>
      <c r="G53" s="47" t="s">
        <v>4799</v>
      </c>
      <c r="H53" s="47" t="s">
        <v>4800</v>
      </c>
      <c r="I53" s="47" t="s">
        <v>3987</v>
      </c>
      <c r="J53" s="47" t="s">
        <v>3987</v>
      </c>
      <c r="K53" s="47" t="s">
        <v>4801</v>
      </c>
      <c r="L53" s="47" t="s">
        <v>569</v>
      </c>
      <c r="M53" s="47" t="s">
        <v>4007</v>
      </c>
      <c r="N53" s="33" t="str">
        <f>HYPERLINK("http://services.igi-global.com/resolvedoi/resolve.aspx?doi=10.4018/978-1-60566-908-3")</f>
        <v>http://services.igi-global.com/resolvedoi/resolve.aspx?doi=10.4018/978-1-60566-908-3</v>
      </c>
    </row>
    <row r="54" spans="1:14">
      <c r="A54" s="47">
        <v>53</v>
      </c>
      <c r="B54" s="47" t="s">
        <v>571</v>
      </c>
      <c r="C54" s="47" t="s">
        <v>549</v>
      </c>
      <c r="D54" s="48" t="s">
        <v>500</v>
      </c>
      <c r="E54" s="48" t="s">
        <v>4174</v>
      </c>
      <c r="F54" s="47" t="s">
        <v>4175</v>
      </c>
      <c r="G54" s="47" t="s">
        <v>4176</v>
      </c>
      <c r="H54" s="47" t="s">
        <v>4177</v>
      </c>
      <c r="I54" s="47" t="s">
        <v>3987</v>
      </c>
      <c r="J54" s="47" t="s">
        <v>3987</v>
      </c>
      <c r="K54" s="47" t="s">
        <v>4178</v>
      </c>
      <c r="L54" s="47" t="s">
        <v>569</v>
      </c>
      <c r="M54" s="47" t="s">
        <v>4007</v>
      </c>
      <c r="N54" s="33" t="str">
        <f>HYPERLINK("http://services.igi-global.com/resolvedoi/resolve.aspx?doi=10.4018/978-1-61520-757-2")</f>
        <v>http://services.igi-global.com/resolvedoi/resolve.aspx?doi=10.4018/978-1-61520-757-2</v>
      </c>
    </row>
    <row r="55" spans="1:14">
      <c r="A55" s="47">
        <v>54</v>
      </c>
      <c r="B55" s="47" t="s">
        <v>571</v>
      </c>
      <c r="C55" s="47" t="s">
        <v>549</v>
      </c>
      <c r="D55" s="48" t="s">
        <v>532</v>
      </c>
      <c r="E55" s="48" t="s">
        <v>4179</v>
      </c>
      <c r="F55" s="47" t="s">
        <v>4180</v>
      </c>
      <c r="G55" s="47" t="s">
        <v>4181</v>
      </c>
      <c r="H55" s="47" t="s">
        <v>4182</v>
      </c>
      <c r="I55" s="47" t="s">
        <v>3987</v>
      </c>
      <c r="J55" s="47" t="s">
        <v>3987</v>
      </c>
      <c r="K55" s="47" t="s">
        <v>4183</v>
      </c>
      <c r="L55" s="47" t="s">
        <v>569</v>
      </c>
      <c r="M55" s="47" t="s">
        <v>4007</v>
      </c>
      <c r="N55" s="33" t="str">
        <f>HYPERLINK("http://services.igi-global.com/resolvedoi/resolve.aspx?doi=10.4018/978-1-60566-328-9")</f>
        <v>http://services.igi-global.com/resolvedoi/resolve.aspx?doi=10.4018/978-1-60566-328-9</v>
      </c>
    </row>
    <row r="56" spans="1:14">
      <c r="A56" s="47">
        <v>55</v>
      </c>
      <c r="B56" s="47" t="s">
        <v>571</v>
      </c>
      <c r="C56" s="47" t="s">
        <v>549</v>
      </c>
      <c r="D56" s="48" t="s">
        <v>4193</v>
      </c>
      <c r="E56" s="48" t="s">
        <v>4194</v>
      </c>
      <c r="F56" s="47" t="s">
        <v>4195</v>
      </c>
      <c r="G56" s="47" t="s">
        <v>4196</v>
      </c>
      <c r="H56" s="47" t="s">
        <v>4197</v>
      </c>
      <c r="I56" s="47" t="s">
        <v>3987</v>
      </c>
      <c r="J56" s="47" t="s">
        <v>3987</v>
      </c>
      <c r="K56" s="47" t="s">
        <v>4198</v>
      </c>
      <c r="L56" s="47" t="s">
        <v>569</v>
      </c>
      <c r="M56" s="47" t="s">
        <v>4007</v>
      </c>
      <c r="N56" s="33" t="str">
        <f>HYPERLINK("http://services.igi-global.com/resolvedoi/resolve.aspx?doi=10.4018/978-1-60566-858-1")</f>
        <v>http://services.igi-global.com/resolvedoi/resolve.aspx?doi=10.4018/978-1-60566-858-1</v>
      </c>
    </row>
    <row r="57" spans="1:14">
      <c r="A57" s="47">
        <v>56</v>
      </c>
      <c r="B57" s="47" t="s">
        <v>571</v>
      </c>
      <c r="C57" s="47" t="s">
        <v>549</v>
      </c>
      <c r="D57" s="48" t="s">
        <v>500</v>
      </c>
      <c r="E57" s="48" t="s">
        <v>4199</v>
      </c>
      <c r="F57" s="47" t="s">
        <v>4200</v>
      </c>
      <c r="G57" s="47" t="s">
        <v>4201</v>
      </c>
      <c r="H57" s="47" t="s">
        <v>4202</v>
      </c>
      <c r="I57" s="47" t="s">
        <v>3987</v>
      </c>
      <c r="J57" s="47" t="s">
        <v>3987</v>
      </c>
      <c r="K57" s="47" t="s">
        <v>4203</v>
      </c>
      <c r="L57" s="47" t="s">
        <v>569</v>
      </c>
      <c r="M57" s="47" t="s">
        <v>4007</v>
      </c>
      <c r="N57" s="33" t="str">
        <f>HYPERLINK("http://services.igi-global.com/resolvedoi/resolve.aspx?doi=10.4018/978-1-60566-814-7")</f>
        <v>http://services.igi-global.com/resolvedoi/resolve.aspx?doi=10.4018/978-1-60566-814-7</v>
      </c>
    </row>
    <row r="58" spans="1:14">
      <c r="A58" s="47">
        <v>57</v>
      </c>
      <c r="B58" s="47" t="s">
        <v>571</v>
      </c>
      <c r="C58" s="47" t="s">
        <v>549</v>
      </c>
      <c r="D58" s="48" t="s">
        <v>4807</v>
      </c>
      <c r="E58" s="48" t="s">
        <v>4808</v>
      </c>
      <c r="F58" s="47" t="s">
        <v>4809</v>
      </c>
      <c r="G58" s="47" t="s">
        <v>4810</v>
      </c>
      <c r="H58" s="47" t="s">
        <v>4811</v>
      </c>
      <c r="I58" s="47" t="s">
        <v>3987</v>
      </c>
      <c r="J58" s="47" t="s">
        <v>3987</v>
      </c>
      <c r="K58" s="47" t="s">
        <v>551</v>
      </c>
      <c r="L58" s="47" t="s">
        <v>569</v>
      </c>
      <c r="M58" s="47" t="s">
        <v>4007</v>
      </c>
      <c r="N58" s="33" t="str">
        <f>HYPERLINK("http://services.igi-global.com/resolvedoi/resolve.aspx?doi=10.4018/978-1-60566-717-1")</f>
        <v>http://services.igi-global.com/resolvedoi/resolve.aspx?doi=10.4018/978-1-60566-717-1</v>
      </c>
    </row>
    <row r="59" spans="1:14">
      <c r="A59" s="47">
        <v>58</v>
      </c>
      <c r="B59" s="47" t="s">
        <v>571</v>
      </c>
      <c r="C59" s="47" t="s">
        <v>549</v>
      </c>
      <c r="D59" s="48" t="s">
        <v>516</v>
      </c>
      <c r="E59" s="48" t="s">
        <v>4188</v>
      </c>
      <c r="F59" s="47" t="s">
        <v>4189</v>
      </c>
      <c r="G59" s="47" t="s">
        <v>4190</v>
      </c>
      <c r="H59" s="47" t="s">
        <v>4191</v>
      </c>
      <c r="I59" s="47" t="s">
        <v>3987</v>
      </c>
      <c r="J59" s="47" t="s">
        <v>3987</v>
      </c>
      <c r="K59" s="47" t="s">
        <v>4192</v>
      </c>
      <c r="L59" s="47" t="s">
        <v>569</v>
      </c>
      <c r="M59" s="47" t="s">
        <v>4033</v>
      </c>
      <c r="N59" s="33" t="str">
        <f>HYPERLINK("http://services.igi-global.com/resolvedoi/resolve.aspx?doi=10.4018/978-1-60566-404-0")</f>
        <v>http://services.igi-global.com/resolvedoi/resolve.aspx?doi=10.4018/978-1-60566-404-0</v>
      </c>
    </row>
    <row r="60" spans="1:14">
      <c r="A60" s="47">
        <v>59</v>
      </c>
      <c r="B60" s="47" t="s">
        <v>571</v>
      </c>
      <c r="C60" s="47" t="s">
        <v>549</v>
      </c>
      <c r="D60" s="48" t="s">
        <v>565</v>
      </c>
      <c r="E60" s="48" t="s">
        <v>4802</v>
      </c>
      <c r="F60" s="47" t="s">
        <v>4803</v>
      </c>
      <c r="G60" s="47" t="s">
        <v>4804</v>
      </c>
      <c r="H60" s="47" t="s">
        <v>4805</v>
      </c>
      <c r="I60" s="47" t="s">
        <v>3987</v>
      </c>
      <c r="J60" s="47" t="s">
        <v>3987</v>
      </c>
      <c r="K60" s="47" t="s">
        <v>4806</v>
      </c>
      <c r="L60" s="47" t="s">
        <v>569</v>
      </c>
      <c r="M60" s="47" t="s">
        <v>4033</v>
      </c>
      <c r="N60" s="33" t="str">
        <f>HYPERLINK("http://services.igi-global.com/resolvedoi/resolve.aspx?doi=10.4018/978-1-60566-188-9")</f>
        <v>http://services.igi-global.com/resolvedoi/resolve.aspx?doi=10.4018/978-1-60566-188-9</v>
      </c>
    </row>
    <row r="61" spans="1:14">
      <c r="A61" s="47">
        <v>60</v>
      </c>
      <c r="B61" s="47" t="s">
        <v>571</v>
      </c>
      <c r="C61" s="47" t="s">
        <v>549</v>
      </c>
      <c r="D61" s="48" t="s">
        <v>494</v>
      </c>
      <c r="E61" s="48" t="s">
        <v>4149</v>
      </c>
      <c r="F61" s="47" t="s">
        <v>4150</v>
      </c>
      <c r="G61" s="47" t="s">
        <v>4151</v>
      </c>
      <c r="H61" s="47" t="s">
        <v>4152</v>
      </c>
      <c r="I61" s="47" t="s">
        <v>3987</v>
      </c>
      <c r="J61" s="47" t="s">
        <v>3987</v>
      </c>
      <c r="K61" s="47" t="s">
        <v>551</v>
      </c>
      <c r="L61" s="47" t="s">
        <v>4119</v>
      </c>
      <c r="M61" s="47" t="s">
        <v>4153</v>
      </c>
      <c r="N61" s="33" t="str">
        <f>HYPERLINK("http://services.igi-global.com/resolvedoi/resolve.aspx?doi=10.4018/978-1-59904-960-1")</f>
        <v>http://services.igi-global.com/resolvedoi/resolve.aspx?doi=10.4018/978-1-59904-960-1</v>
      </c>
    </row>
    <row r="62" spans="1:14">
      <c r="A62" s="47">
        <v>61</v>
      </c>
      <c r="B62" s="47" t="s">
        <v>571</v>
      </c>
      <c r="C62" s="47" t="s">
        <v>549</v>
      </c>
      <c r="D62" s="48" t="s">
        <v>494</v>
      </c>
      <c r="E62" s="48" t="s">
        <v>4159</v>
      </c>
      <c r="F62" s="47" t="s">
        <v>4160</v>
      </c>
      <c r="G62" s="47" t="s">
        <v>4161</v>
      </c>
      <c r="H62" s="47" t="s">
        <v>4162</v>
      </c>
      <c r="I62" s="47" t="s">
        <v>4163</v>
      </c>
      <c r="J62" s="47" t="s">
        <v>3987</v>
      </c>
      <c r="K62" s="47" t="s">
        <v>547</v>
      </c>
      <c r="L62" s="47" t="s">
        <v>569</v>
      </c>
      <c r="M62" s="47" t="s">
        <v>4153</v>
      </c>
      <c r="N62" s="33" t="str">
        <f>HYPERLINK("http://services.igi-global.com/resolvedoi/resolve.aspx?doi=10.4018/978-1-59904-951-9")</f>
        <v>http://services.igi-global.com/resolvedoi/resolve.aspx?doi=10.4018/978-1-59904-951-9</v>
      </c>
    </row>
    <row r="63" spans="1:14">
      <c r="A63" s="47">
        <v>62</v>
      </c>
      <c r="B63" s="47" t="s">
        <v>571</v>
      </c>
      <c r="C63" s="47" t="s">
        <v>554</v>
      </c>
      <c r="D63" s="48" t="s">
        <v>495</v>
      </c>
      <c r="E63" s="48" t="s">
        <v>4812</v>
      </c>
      <c r="F63" s="47" t="s">
        <v>4813</v>
      </c>
      <c r="G63" s="47" t="s">
        <v>4814</v>
      </c>
      <c r="H63" s="47" t="s">
        <v>4815</v>
      </c>
      <c r="I63" s="47" t="s">
        <v>3987</v>
      </c>
      <c r="J63" s="47" t="s">
        <v>3987</v>
      </c>
      <c r="K63" s="47" t="s">
        <v>4816</v>
      </c>
      <c r="L63" s="47" t="s">
        <v>569</v>
      </c>
      <c r="M63" s="47" t="s">
        <v>3989</v>
      </c>
      <c r="N63" s="33" t="str">
        <f>HYPERLINK("http://services.igi-global.com/resolvedoi/resolve.aspx?doi=10.4018/978-1-60960-141-6")</f>
        <v>http://services.igi-global.com/resolvedoi/resolve.aspx?doi=10.4018/978-1-60960-141-6</v>
      </c>
    </row>
    <row r="64" spans="1:14">
      <c r="A64" s="47">
        <v>63</v>
      </c>
      <c r="B64" s="47" t="s">
        <v>571</v>
      </c>
      <c r="C64" s="47" t="s">
        <v>554</v>
      </c>
      <c r="D64" s="48" t="s">
        <v>496</v>
      </c>
      <c r="E64" s="48" t="s">
        <v>4817</v>
      </c>
      <c r="F64" s="47" t="s">
        <v>4818</v>
      </c>
      <c r="G64" s="47" t="s">
        <v>4819</v>
      </c>
      <c r="H64" s="47" t="s">
        <v>4820</v>
      </c>
      <c r="I64" s="47" t="s">
        <v>3987</v>
      </c>
      <c r="J64" s="47" t="s">
        <v>3987</v>
      </c>
      <c r="K64" s="47" t="s">
        <v>4821</v>
      </c>
      <c r="L64" s="47" t="s">
        <v>569</v>
      </c>
      <c r="M64" s="47" t="s">
        <v>3989</v>
      </c>
      <c r="N64" s="33" t="str">
        <f>HYPERLINK("http://services.igi-global.com/resolvedoi/resolve.aspx?doi=10.4018/978-1-61692-854-4")</f>
        <v>http://services.igi-global.com/resolvedoi/resolve.aspx?doi=10.4018/978-1-61692-854-4</v>
      </c>
    </row>
    <row r="65" spans="1:14">
      <c r="A65" s="47">
        <v>64</v>
      </c>
      <c r="B65" s="47" t="s">
        <v>571</v>
      </c>
      <c r="C65" s="47" t="s">
        <v>554</v>
      </c>
      <c r="D65" s="48" t="s">
        <v>499</v>
      </c>
      <c r="E65" s="48" t="s">
        <v>4213</v>
      </c>
      <c r="F65" s="47" t="s">
        <v>4214</v>
      </c>
      <c r="G65" s="47" t="s">
        <v>4215</v>
      </c>
      <c r="H65" s="47" t="s">
        <v>4216</v>
      </c>
      <c r="I65" s="47" t="s">
        <v>3987</v>
      </c>
      <c r="J65" s="47" t="s">
        <v>3987</v>
      </c>
      <c r="K65" s="47" t="s">
        <v>4217</v>
      </c>
      <c r="L65" s="47" t="s">
        <v>569</v>
      </c>
      <c r="M65" s="47" t="s">
        <v>3989</v>
      </c>
      <c r="N65" s="33" t="str">
        <f>HYPERLINK("http://services.igi-global.com/resolvedoi/resolve.aspx?doi=10.4018/978-1-60960-543-8")</f>
        <v>http://services.igi-global.com/resolvedoi/resolve.aspx?doi=10.4018/978-1-60960-543-8</v>
      </c>
    </row>
    <row r="66" spans="1:14">
      <c r="A66" s="47">
        <v>65</v>
      </c>
      <c r="B66" s="47" t="s">
        <v>571</v>
      </c>
      <c r="C66" s="47" t="s">
        <v>554</v>
      </c>
      <c r="D66" s="48" t="s">
        <v>4218</v>
      </c>
      <c r="E66" s="48" t="s">
        <v>4219</v>
      </c>
      <c r="F66" s="47" t="s">
        <v>4220</v>
      </c>
      <c r="G66" s="47" t="s">
        <v>4221</v>
      </c>
      <c r="H66" s="47" t="s">
        <v>4222</v>
      </c>
      <c r="I66" s="47" t="s">
        <v>3987</v>
      </c>
      <c r="J66" s="47" t="s">
        <v>3987</v>
      </c>
      <c r="K66" s="47" t="s">
        <v>555</v>
      </c>
      <c r="L66" s="47" t="s">
        <v>569</v>
      </c>
      <c r="M66" s="47" t="s">
        <v>3989</v>
      </c>
      <c r="N66" s="33" t="str">
        <f>HYPERLINK("http://services.igi-global.com/resolvedoi/resolve.aspx?doi=10.4018/978-1-61520-745-9")</f>
        <v>http://services.igi-global.com/resolvedoi/resolve.aspx?doi=10.4018/978-1-61520-745-9</v>
      </c>
    </row>
    <row r="67" spans="1:14">
      <c r="A67" s="47">
        <v>66</v>
      </c>
      <c r="B67" s="47" t="s">
        <v>571</v>
      </c>
      <c r="C67" s="47" t="s">
        <v>554</v>
      </c>
      <c r="D67" s="48" t="s">
        <v>4443</v>
      </c>
      <c r="E67" s="48" t="s">
        <v>4832</v>
      </c>
      <c r="F67" s="47" t="s">
        <v>4833</v>
      </c>
      <c r="G67" s="47" t="s">
        <v>4834</v>
      </c>
      <c r="H67" s="47" t="s">
        <v>4835</v>
      </c>
      <c r="I67" s="47" t="s">
        <v>3987</v>
      </c>
      <c r="J67" s="47" t="s">
        <v>3987</v>
      </c>
      <c r="K67" s="47" t="s">
        <v>4836</v>
      </c>
      <c r="L67" s="47" t="s">
        <v>569</v>
      </c>
      <c r="M67" s="47" t="s">
        <v>3989</v>
      </c>
      <c r="N67" s="33" t="str">
        <f>HYPERLINK("http://services.igi-global.com/resolvedoi/resolve.aspx?doi=10.4018/978-1-60960-541-4")</f>
        <v>http://services.igi-global.com/resolvedoi/resolve.aspx?doi=10.4018/978-1-60960-541-4</v>
      </c>
    </row>
    <row r="68" spans="1:14">
      <c r="A68" s="47">
        <v>67</v>
      </c>
      <c r="B68" s="47" t="s">
        <v>571</v>
      </c>
      <c r="C68" s="47" t="s">
        <v>554</v>
      </c>
      <c r="D68" s="48" t="s">
        <v>517</v>
      </c>
      <c r="E68" s="48" t="s">
        <v>4228</v>
      </c>
      <c r="F68" s="47" t="s">
        <v>4229</v>
      </c>
      <c r="G68" s="47" t="s">
        <v>4230</v>
      </c>
      <c r="H68" s="47" t="s">
        <v>4231</v>
      </c>
      <c r="I68" s="47" t="s">
        <v>3987</v>
      </c>
      <c r="J68" s="47" t="s">
        <v>3987</v>
      </c>
      <c r="K68" s="47" t="s">
        <v>2854</v>
      </c>
      <c r="L68" s="47" t="s">
        <v>569</v>
      </c>
      <c r="M68" s="47" t="s">
        <v>3989</v>
      </c>
      <c r="N68" s="33" t="str">
        <f>HYPERLINK("http://services.igi-global.com/resolvedoi/resolve.aspx?doi=10.4018/978-1-61520-989-7")</f>
        <v>http://services.igi-global.com/resolvedoi/resolve.aspx?doi=10.4018/978-1-61520-989-7</v>
      </c>
    </row>
    <row r="69" spans="1:14">
      <c r="A69" s="47">
        <v>68</v>
      </c>
      <c r="B69" s="47" t="s">
        <v>571</v>
      </c>
      <c r="C69" s="47" t="s">
        <v>554</v>
      </c>
      <c r="D69" s="48" t="s">
        <v>518</v>
      </c>
      <c r="E69" s="48" t="s">
        <v>4232</v>
      </c>
      <c r="F69" s="47" t="s">
        <v>4233</v>
      </c>
      <c r="G69" s="47" t="s">
        <v>4234</v>
      </c>
      <c r="H69" s="47" t="s">
        <v>4235</v>
      </c>
      <c r="I69" s="47" t="s">
        <v>3987</v>
      </c>
      <c r="J69" s="47" t="s">
        <v>3987</v>
      </c>
      <c r="K69" s="47" t="s">
        <v>557</v>
      </c>
      <c r="L69" s="47" t="s">
        <v>569</v>
      </c>
      <c r="M69" s="47" t="s">
        <v>3989</v>
      </c>
      <c r="N69" s="33" t="str">
        <f>HYPERLINK("http://services.igi-global.com/resolvedoi/resolve.aspx?doi=10.4018/978-1-60960-481-3")</f>
        <v>http://services.igi-global.com/resolvedoi/resolve.aspx?doi=10.4018/978-1-60960-481-3</v>
      </c>
    </row>
    <row r="70" spans="1:14">
      <c r="A70" s="47">
        <v>69</v>
      </c>
      <c r="B70" s="47" t="s">
        <v>571</v>
      </c>
      <c r="C70" s="47" t="s">
        <v>554</v>
      </c>
      <c r="D70" s="48" t="s">
        <v>4236</v>
      </c>
      <c r="E70" s="48" t="s">
        <v>4237</v>
      </c>
      <c r="F70" s="47" t="s">
        <v>4238</v>
      </c>
      <c r="G70" s="47" t="s">
        <v>4239</v>
      </c>
      <c r="H70" s="47" t="s">
        <v>4240</v>
      </c>
      <c r="I70" s="47" t="s">
        <v>3987</v>
      </c>
      <c r="J70" s="47" t="s">
        <v>3987</v>
      </c>
      <c r="K70" s="47" t="s">
        <v>1743</v>
      </c>
      <c r="L70" s="47" t="s">
        <v>569</v>
      </c>
      <c r="M70" s="47" t="s">
        <v>3989</v>
      </c>
      <c r="N70" s="33" t="str">
        <f>HYPERLINK("http://services.igi-global.com/resolvedoi/resolve.aspx?doi=10.4018/978-1-60960-878-1")</f>
        <v>http://services.igi-global.com/resolvedoi/resolve.aspx?doi=10.4018/978-1-60960-878-1</v>
      </c>
    </row>
    <row r="71" spans="1:14">
      <c r="A71" s="47">
        <v>70</v>
      </c>
      <c r="B71" s="47" t="s">
        <v>571</v>
      </c>
      <c r="C71" s="47" t="s">
        <v>554</v>
      </c>
      <c r="D71" s="48" t="s">
        <v>498</v>
      </c>
      <c r="E71" s="48" t="s">
        <v>4837</v>
      </c>
      <c r="F71" s="47" t="s">
        <v>4838</v>
      </c>
      <c r="G71" s="47" t="s">
        <v>4839</v>
      </c>
      <c r="H71" s="47" t="s">
        <v>4840</v>
      </c>
      <c r="I71" s="47" t="s">
        <v>3987</v>
      </c>
      <c r="J71" s="47" t="s">
        <v>3987</v>
      </c>
      <c r="K71" s="47" t="s">
        <v>4841</v>
      </c>
      <c r="L71" s="47" t="s">
        <v>569</v>
      </c>
      <c r="M71" s="47" t="s">
        <v>3989</v>
      </c>
      <c r="N71" s="33" t="str">
        <f>HYPERLINK("http://services.igi-global.com/resolvedoi/resolve.aspx?doi=10.4018/978-1-61520-865-4")</f>
        <v>http://services.igi-global.com/resolvedoi/resolve.aspx?doi=10.4018/978-1-61520-865-4</v>
      </c>
    </row>
    <row r="72" spans="1:14">
      <c r="A72" s="47">
        <v>71</v>
      </c>
      <c r="B72" s="47" t="s">
        <v>571</v>
      </c>
      <c r="C72" s="47" t="s">
        <v>554</v>
      </c>
      <c r="D72" s="48" t="s">
        <v>4842</v>
      </c>
      <c r="E72" s="48" t="s">
        <v>4843</v>
      </c>
      <c r="F72" s="47" t="s">
        <v>4844</v>
      </c>
      <c r="G72" s="47" t="s">
        <v>4845</v>
      </c>
      <c r="H72" s="47" t="s">
        <v>4846</v>
      </c>
      <c r="I72" s="47" t="s">
        <v>3987</v>
      </c>
      <c r="J72" s="47" t="s">
        <v>3987</v>
      </c>
      <c r="K72" s="47" t="s">
        <v>2938</v>
      </c>
      <c r="L72" s="47" t="s">
        <v>569</v>
      </c>
      <c r="M72" s="47" t="s">
        <v>3989</v>
      </c>
      <c r="N72" s="33" t="str">
        <f>HYPERLINK("http://services.igi-global.com/resolvedoi/resolve.aspx?doi=10.4018/978-1-61692-789-9")</f>
        <v>http://services.igi-global.com/resolvedoi/resolve.aspx?doi=10.4018/978-1-61692-789-9</v>
      </c>
    </row>
    <row r="73" spans="1:14">
      <c r="A73" s="47">
        <v>72</v>
      </c>
      <c r="B73" s="47" t="s">
        <v>571</v>
      </c>
      <c r="C73" s="47" t="s">
        <v>554</v>
      </c>
      <c r="D73" s="48" t="s">
        <v>519</v>
      </c>
      <c r="E73" s="48" t="s">
        <v>4241</v>
      </c>
      <c r="F73" s="47" t="s">
        <v>4242</v>
      </c>
      <c r="G73" s="47" t="s">
        <v>4243</v>
      </c>
      <c r="H73" s="47" t="s">
        <v>4244</v>
      </c>
      <c r="I73" s="47" t="s">
        <v>4245</v>
      </c>
      <c r="J73" s="47" t="s">
        <v>3987</v>
      </c>
      <c r="K73" s="47" t="s">
        <v>2949</v>
      </c>
      <c r="L73" s="47" t="s">
        <v>569</v>
      </c>
      <c r="M73" s="47" t="s">
        <v>3989</v>
      </c>
      <c r="N73" s="33" t="str">
        <f>HYPERLINK("http://services.igi-global.com/resolvedoi/resolve.aspx?doi=10.4018/978-1-60960-495-0")</f>
        <v>http://services.igi-global.com/resolvedoi/resolve.aspx?doi=10.4018/978-1-60960-495-0</v>
      </c>
    </row>
    <row r="74" spans="1:14">
      <c r="A74" s="47">
        <v>73</v>
      </c>
      <c r="B74" s="47" t="s">
        <v>571</v>
      </c>
      <c r="C74" s="47" t="s">
        <v>554</v>
      </c>
      <c r="D74" s="48" t="s">
        <v>496</v>
      </c>
      <c r="E74" s="48" t="s">
        <v>4847</v>
      </c>
      <c r="F74" s="47" t="s">
        <v>4848</v>
      </c>
      <c r="G74" s="47" t="s">
        <v>4849</v>
      </c>
      <c r="H74" s="47" t="s">
        <v>4850</v>
      </c>
      <c r="I74" s="47" t="s">
        <v>3987</v>
      </c>
      <c r="J74" s="47" t="s">
        <v>3987</v>
      </c>
      <c r="K74" s="47" t="s">
        <v>4851</v>
      </c>
      <c r="L74" s="47" t="s">
        <v>569</v>
      </c>
      <c r="M74" s="47" t="s">
        <v>3989</v>
      </c>
      <c r="N74" s="33" t="str">
        <f>HYPERLINK("http://services.igi-global.com/resolvedoi/resolve.aspx?doi=10.4018/978-1-61692-849-0")</f>
        <v>http://services.igi-global.com/resolvedoi/resolve.aspx?doi=10.4018/978-1-61692-849-0</v>
      </c>
    </row>
    <row r="75" spans="1:14">
      <c r="A75" s="47">
        <v>74</v>
      </c>
      <c r="B75" s="47" t="s">
        <v>571</v>
      </c>
      <c r="C75" s="47" t="s">
        <v>554</v>
      </c>
      <c r="D75" s="48" t="s">
        <v>496</v>
      </c>
      <c r="E75" s="48" t="s">
        <v>4250</v>
      </c>
      <c r="F75" s="47" t="s">
        <v>4251</v>
      </c>
      <c r="G75" s="47" t="s">
        <v>4252</v>
      </c>
      <c r="H75" s="47" t="s">
        <v>4253</v>
      </c>
      <c r="I75" s="47" t="s">
        <v>3987</v>
      </c>
      <c r="J75" s="47" t="s">
        <v>3987</v>
      </c>
      <c r="K75" s="47" t="s">
        <v>4254</v>
      </c>
      <c r="L75" s="47" t="s">
        <v>569</v>
      </c>
      <c r="M75" s="47" t="s">
        <v>3989</v>
      </c>
      <c r="N75" s="33" t="str">
        <f>HYPERLINK("http://services.igi-global.com/resolvedoi/resolve.aspx?doi=10.4018/978-1-60960-511-7")</f>
        <v>http://services.igi-global.com/resolvedoi/resolve.aspx?doi=10.4018/978-1-60960-511-7</v>
      </c>
    </row>
    <row r="76" spans="1:14">
      <c r="A76" s="47">
        <v>75</v>
      </c>
      <c r="B76" s="47" t="s">
        <v>571</v>
      </c>
      <c r="C76" s="47" t="s">
        <v>554</v>
      </c>
      <c r="D76" s="48" t="s">
        <v>499</v>
      </c>
      <c r="E76" s="48" t="s">
        <v>4852</v>
      </c>
      <c r="F76" s="47" t="s">
        <v>4853</v>
      </c>
      <c r="G76" s="47" t="s">
        <v>4854</v>
      </c>
      <c r="H76" s="47" t="s">
        <v>4855</v>
      </c>
      <c r="I76" s="47" t="s">
        <v>3987</v>
      </c>
      <c r="J76" s="47" t="s">
        <v>3987</v>
      </c>
      <c r="K76" s="47" t="s">
        <v>574</v>
      </c>
      <c r="L76" s="47" t="s">
        <v>569</v>
      </c>
      <c r="M76" s="47" t="s">
        <v>3989</v>
      </c>
      <c r="N76" s="33" t="str">
        <f>HYPERLINK("http://services.igi-global.com/resolvedoi/resolve.aspx?doi=10.4018/978-1-60960-150-8")</f>
        <v>http://services.igi-global.com/resolvedoi/resolve.aspx?doi=10.4018/978-1-60960-150-8</v>
      </c>
    </row>
    <row r="77" spans="1:14">
      <c r="A77" s="47">
        <v>76</v>
      </c>
      <c r="B77" s="47" t="s">
        <v>571</v>
      </c>
      <c r="C77" s="47" t="s">
        <v>554</v>
      </c>
      <c r="D77" s="48" t="s">
        <v>499</v>
      </c>
      <c r="E77" s="48" t="s">
        <v>4255</v>
      </c>
      <c r="F77" s="47" t="s">
        <v>4256</v>
      </c>
      <c r="G77" s="47" t="s">
        <v>4257</v>
      </c>
      <c r="H77" s="47" t="s">
        <v>4258</v>
      </c>
      <c r="I77" s="47" t="s">
        <v>3987</v>
      </c>
      <c r="J77" s="47" t="s">
        <v>3987</v>
      </c>
      <c r="K77" s="47" t="s">
        <v>559</v>
      </c>
      <c r="L77" s="47" t="s">
        <v>569</v>
      </c>
      <c r="M77" s="47" t="s">
        <v>3989</v>
      </c>
      <c r="N77" s="33" t="str">
        <f>HYPERLINK("http://services.igi-global.com/resolvedoi/resolve.aspx?doi=10.4018/978-1-60960-613-8")</f>
        <v>http://services.igi-global.com/resolvedoi/resolve.aspx?doi=10.4018/978-1-60960-613-8</v>
      </c>
    </row>
    <row r="78" spans="1:14">
      <c r="A78" s="47">
        <v>77</v>
      </c>
      <c r="B78" s="47" t="s">
        <v>571</v>
      </c>
      <c r="C78" s="47" t="s">
        <v>554</v>
      </c>
      <c r="D78" s="48" t="s">
        <v>4856</v>
      </c>
      <c r="E78" s="48" t="s">
        <v>4857</v>
      </c>
      <c r="F78" s="47" t="s">
        <v>4858</v>
      </c>
      <c r="G78" s="47" t="s">
        <v>4859</v>
      </c>
      <c r="H78" s="47" t="s">
        <v>4860</v>
      </c>
      <c r="I78" s="47" t="s">
        <v>3987</v>
      </c>
      <c r="J78" s="47" t="s">
        <v>3987</v>
      </c>
      <c r="K78" s="47" t="s">
        <v>4861</v>
      </c>
      <c r="L78" s="47" t="s">
        <v>569</v>
      </c>
      <c r="M78" s="47" t="s">
        <v>3989</v>
      </c>
      <c r="N78" s="33" t="str">
        <f>HYPERLINK("http://services.igi-global.com/resolvedoi/resolve.aspx?doi=10.4018/978-1-60960-114-0")</f>
        <v>http://services.igi-global.com/resolvedoi/resolve.aspx?doi=10.4018/978-1-60960-114-0</v>
      </c>
    </row>
    <row r="79" spans="1:14">
      <c r="A79" s="47">
        <v>78</v>
      </c>
      <c r="B79" s="47" t="s">
        <v>571</v>
      </c>
      <c r="C79" s="47" t="s">
        <v>554</v>
      </c>
      <c r="D79" s="48" t="s">
        <v>4264</v>
      </c>
      <c r="E79" s="48" t="s">
        <v>4265</v>
      </c>
      <c r="F79" s="47" t="s">
        <v>4266</v>
      </c>
      <c r="G79" s="47" t="s">
        <v>4267</v>
      </c>
      <c r="H79" s="47" t="s">
        <v>4268</v>
      </c>
      <c r="I79" s="47" t="s">
        <v>3987</v>
      </c>
      <c r="J79" s="47" t="s">
        <v>3987</v>
      </c>
      <c r="K79" s="47" t="s">
        <v>4269</v>
      </c>
      <c r="L79" s="47" t="s">
        <v>569</v>
      </c>
      <c r="M79" s="47" t="s">
        <v>3989</v>
      </c>
      <c r="N79" s="33" t="str">
        <f>HYPERLINK("http://services.igi-global.com/resolvedoi/resolve.aspx?doi=10.4018/978-1-60566-930-4")</f>
        <v>http://services.igi-global.com/resolvedoi/resolve.aspx?doi=10.4018/978-1-60566-930-4</v>
      </c>
    </row>
    <row r="80" spans="1:14">
      <c r="A80" s="47">
        <v>79</v>
      </c>
      <c r="B80" s="47" t="s">
        <v>571</v>
      </c>
      <c r="C80" s="47" t="s">
        <v>554</v>
      </c>
      <c r="D80" s="48" t="s">
        <v>497</v>
      </c>
      <c r="E80" s="48" t="s">
        <v>4270</v>
      </c>
      <c r="F80" s="47" t="s">
        <v>4271</v>
      </c>
      <c r="G80" s="47" t="s">
        <v>4272</v>
      </c>
      <c r="H80" s="47" t="s">
        <v>4273</v>
      </c>
      <c r="I80" s="47" t="s">
        <v>3987</v>
      </c>
      <c r="J80" s="47" t="s">
        <v>3987</v>
      </c>
      <c r="K80" s="47" t="s">
        <v>3037</v>
      </c>
      <c r="L80" s="47" t="s">
        <v>569</v>
      </c>
      <c r="M80" s="47" t="s">
        <v>3989</v>
      </c>
      <c r="N80" s="33" t="str">
        <f>HYPERLINK("http://services.igi-global.com/resolvedoi/resolve.aspx?doi=10.4018/978-1-60960-800-2")</f>
        <v>http://services.igi-global.com/resolvedoi/resolve.aspx?doi=10.4018/978-1-60960-800-2</v>
      </c>
    </row>
    <row r="81" spans="1:14">
      <c r="A81" s="47">
        <v>80</v>
      </c>
      <c r="B81" s="47" t="s">
        <v>571</v>
      </c>
      <c r="C81" s="47" t="s">
        <v>554</v>
      </c>
      <c r="D81" s="48" t="s">
        <v>497</v>
      </c>
      <c r="E81" s="48" t="s">
        <v>4279</v>
      </c>
      <c r="F81" s="47" t="s">
        <v>4280</v>
      </c>
      <c r="G81" s="47" t="s">
        <v>4281</v>
      </c>
      <c r="H81" s="47" t="s">
        <v>4282</v>
      </c>
      <c r="I81" s="47" t="s">
        <v>3987</v>
      </c>
      <c r="J81" s="47" t="s">
        <v>3987</v>
      </c>
      <c r="K81" s="47" t="s">
        <v>4283</v>
      </c>
      <c r="L81" s="47" t="s">
        <v>569</v>
      </c>
      <c r="M81" s="47" t="s">
        <v>3989</v>
      </c>
      <c r="N81" s="33" t="str">
        <f>HYPERLINK("http://services.igi-global.com/resolvedoi/resolve.aspx?doi=10.4018/978-1-60566-294-7")</f>
        <v>http://services.igi-global.com/resolvedoi/resolve.aspx?doi=10.4018/978-1-60566-294-7</v>
      </c>
    </row>
    <row r="82" spans="1:14">
      <c r="A82" s="47">
        <v>81</v>
      </c>
      <c r="B82" s="47" t="s">
        <v>571</v>
      </c>
      <c r="C82" s="47" t="s">
        <v>554</v>
      </c>
      <c r="D82" s="48" t="s">
        <v>4867</v>
      </c>
      <c r="E82" s="48" t="s">
        <v>4868</v>
      </c>
      <c r="F82" s="47" t="s">
        <v>4869</v>
      </c>
      <c r="G82" s="47" t="s">
        <v>4870</v>
      </c>
      <c r="H82" s="47" t="s">
        <v>4871</v>
      </c>
      <c r="I82" s="47" t="s">
        <v>3987</v>
      </c>
      <c r="J82" s="47" t="s">
        <v>3987</v>
      </c>
      <c r="K82" s="47" t="s">
        <v>4872</v>
      </c>
      <c r="L82" s="47" t="s">
        <v>569</v>
      </c>
      <c r="M82" s="47" t="s">
        <v>3989</v>
      </c>
      <c r="N82" s="33" t="str">
        <f>HYPERLINK("http://services.igi-global.com/resolvedoi/resolve.aspx?doi=10.4018/978-1-60960-547-6")</f>
        <v>http://services.igi-global.com/resolvedoi/resolve.aspx?doi=10.4018/978-1-60960-547-6</v>
      </c>
    </row>
    <row r="83" spans="1:14">
      <c r="A83" s="47">
        <v>82</v>
      </c>
      <c r="B83" s="47" t="s">
        <v>571</v>
      </c>
      <c r="C83" s="47" t="s">
        <v>554</v>
      </c>
      <c r="D83" s="48" t="s">
        <v>4822</v>
      </c>
      <c r="E83" s="48" t="s">
        <v>4823</v>
      </c>
      <c r="F83" s="47" t="s">
        <v>4824</v>
      </c>
      <c r="G83" s="47" t="s">
        <v>4825</v>
      </c>
      <c r="H83" s="47" t="s">
        <v>4826</v>
      </c>
      <c r="I83" s="47" t="s">
        <v>3987</v>
      </c>
      <c r="J83" s="47" t="s">
        <v>3987</v>
      </c>
      <c r="K83" s="47" t="s">
        <v>4827</v>
      </c>
      <c r="L83" s="47" t="s">
        <v>569</v>
      </c>
      <c r="M83" s="47" t="s">
        <v>4007</v>
      </c>
      <c r="N83" s="33" t="str">
        <f>HYPERLINK("http://services.igi-global.com/resolvedoi/resolve.aspx?doi=10.4018/978-1-60566-828-4")</f>
        <v>http://services.igi-global.com/resolvedoi/resolve.aspx?doi=10.4018/978-1-60566-828-4</v>
      </c>
    </row>
    <row r="84" spans="1:14">
      <c r="A84" s="47">
        <v>83</v>
      </c>
      <c r="B84" s="47" t="s">
        <v>571</v>
      </c>
      <c r="C84" s="47" t="s">
        <v>554</v>
      </c>
      <c r="D84" s="48" t="s">
        <v>4223</v>
      </c>
      <c r="E84" s="48" t="s">
        <v>4224</v>
      </c>
      <c r="F84" s="47" t="s">
        <v>4225</v>
      </c>
      <c r="G84" s="47" t="s">
        <v>4226</v>
      </c>
      <c r="H84" s="47" t="s">
        <v>4227</v>
      </c>
      <c r="I84" s="47" t="s">
        <v>3987</v>
      </c>
      <c r="J84" s="47" t="s">
        <v>3987</v>
      </c>
      <c r="K84" s="47" t="s">
        <v>556</v>
      </c>
      <c r="L84" s="47" t="s">
        <v>569</v>
      </c>
      <c r="M84" s="47" t="s">
        <v>4007</v>
      </c>
      <c r="N84" s="33" t="str">
        <f>HYPERLINK("http://services.igi-global.com/resolvedoi/resolve.aspx?doi=10.4018/978-1-61520-869-2")</f>
        <v>http://services.igi-global.com/resolvedoi/resolve.aspx?doi=10.4018/978-1-61520-869-2</v>
      </c>
    </row>
    <row r="85" spans="1:14">
      <c r="A85" s="47">
        <v>84</v>
      </c>
      <c r="B85" s="47" t="s">
        <v>571</v>
      </c>
      <c r="C85" s="47" t="s">
        <v>554</v>
      </c>
      <c r="D85" s="48" t="s">
        <v>3112</v>
      </c>
      <c r="E85" s="48" t="s">
        <v>4246</v>
      </c>
      <c r="F85" s="47" t="s">
        <v>4247</v>
      </c>
      <c r="G85" s="47" t="s">
        <v>4248</v>
      </c>
      <c r="H85" s="47" t="s">
        <v>4249</v>
      </c>
      <c r="I85" s="47" t="s">
        <v>3987</v>
      </c>
      <c r="J85" s="47" t="s">
        <v>3987</v>
      </c>
      <c r="K85" s="47" t="s">
        <v>558</v>
      </c>
      <c r="L85" s="47" t="s">
        <v>569</v>
      </c>
      <c r="M85" s="47" t="s">
        <v>4007</v>
      </c>
      <c r="N85" s="33" t="str">
        <f>HYPERLINK("http://services.igi-global.com/resolvedoi/resolve.aspx?doi=10.4018/978-1-60566-788-1")</f>
        <v>http://services.igi-global.com/resolvedoi/resolve.aspx?doi=10.4018/978-1-60566-788-1</v>
      </c>
    </row>
    <row r="86" spans="1:14">
      <c r="A86" s="47">
        <v>85</v>
      </c>
      <c r="B86" s="47" t="s">
        <v>571</v>
      </c>
      <c r="C86" s="47" t="s">
        <v>554</v>
      </c>
      <c r="D86" s="48" t="s">
        <v>495</v>
      </c>
      <c r="E86" s="48" t="s">
        <v>4259</v>
      </c>
      <c r="F86" s="47" t="s">
        <v>4260</v>
      </c>
      <c r="G86" s="47" t="s">
        <v>4261</v>
      </c>
      <c r="H86" s="47" t="s">
        <v>4262</v>
      </c>
      <c r="I86" s="47" t="s">
        <v>3987</v>
      </c>
      <c r="J86" s="47" t="s">
        <v>3987</v>
      </c>
      <c r="K86" s="47" t="s">
        <v>4263</v>
      </c>
      <c r="L86" s="47" t="s">
        <v>569</v>
      </c>
      <c r="M86" s="47" t="s">
        <v>4007</v>
      </c>
      <c r="N86" s="33" t="str">
        <f>HYPERLINK("http://services.igi-global.com/resolvedoi/resolve.aspx?doi=10.4018/978-1-61520-707-7")</f>
        <v>http://services.igi-global.com/resolvedoi/resolve.aspx?doi=10.4018/978-1-61520-707-7</v>
      </c>
    </row>
    <row r="87" spans="1:14">
      <c r="A87" s="47">
        <v>86</v>
      </c>
      <c r="B87" s="47" t="s">
        <v>571</v>
      </c>
      <c r="C87" s="47" t="s">
        <v>554</v>
      </c>
      <c r="D87" s="48" t="s">
        <v>496</v>
      </c>
      <c r="E87" s="48" t="s">
        <v>4274</v>
      </c>
      <c r="F87" s="47" t="s">
        <v>4275</v>
      </c>
      <c r="G87" s="47" t="s">
        <v>4276</v>
      </c>
      <c r="H87" s="47" t="s">
        <v>4277</v>
      </c>
      <c r="I87" s="47" t="s">
        <v>3987</v>
      </c>
      <c r="J87" s="47" t="s">
        <v>3987</v>
      </c>
      <c r="K87" s="47" t="s">
        <v>4278</v>
      </c>
      <c r="L87" s="47" t="s">
        <v>569</v>
      </c>
      <c r="M87" s="47" t="s">
        <v>4007</v>
      </c>
      <c r="N87" s="33" t="str">
        <f>HYPERLINK("http://services.igi-global.com/resolvedoi/resolve.aspx?doi=10.4018/978-1-61520-897-5")</f>
        <v>http://services.igi-global.com/resolvedoi/resolve.aspx?doi=10.4018/978-1-61520-897-5</v>
      </c>
    </row>
    <row r="88" spans="1:14">
      <c r="A88" s="47">
        <v>87</v>
      </c>
      <c r="B88" s="47" t="s">
        <v>571</v>
      </c>
      <c r="C88" s="47" t="s">
        <v>554</v>
      </c>
      <c r="D88" s="48" t="s">
        <v>564</v>
      </c>
      <c r="E88" s="48" t="s">
        <v>4862</v>
      </c>
      <c r="F88" s="47" t="s">
        <v>4863</v>
      </c>
      <c r="G88" s="47" t="s">
        <v>4864</v>
      </c>
      <c r="H88" s="47" t="s">
        <v>4865</v>
      </c>
      <c r="I88" s="47" t="s">
        <v>3987</v>
      </c>
      <c r="J88" s="47" t="s">
        <v>3987</v>
      </c>
      <c r="K88" s="47" t="s">
        <v>4866</v>
      </c>
      <c r="L88" s="47" t="s">
        <v>568</v>
      </c>
      <c r="M88" s="47" t="s">
        <v>4007</v>
      </c>
      <c r="N88" s="33" t="str">
        <f>HYPERLINK("http://services.igi-global.com/resolvedoi/resolve.aspx?doi=10.4018/978-1-61520-619-3")</f>
        <v>http://services.igi-global.com/resolvedoi/resolve.aspx?doi=10.4018/978-1-61520-619-3</v>
      </c>
    </row>
    <row r="89" spans="1:14">
      <c r="A89" s="47">
        <v>88</v>
      </c>
      <c r="B89" s="47" t="s">
        <v>571</v>
      </c>
      <c r="C89" s="47" t="s">
        <v>554</v>
      </c>
      <c r="D89" s="48" t="s">
        <v>497</v>
      </c>
      <c r="E89" s="48" t="s">
        <v>4828</v>
      </c>
      <c r="F89" s="47" t="s">
        <v>4829</v>
      </c>
      <c r="G89" s="47" t="s">
        <v>4830</v>
      </c>
      <c r="H89" s="47" t="s">
        <v>4831</v>
      </c>
      <c r="I89" s="47" t="s">
        <v>3987</v>
      </c>
      <c r="J89" s="47" t="s">
        <v>3987</v>
      </c>
      <c r="K89" s="47" t="s">
        <v>573</v>
      </c>
      <c r="L89" s="47" t="s">
        <v>569</v>
      </c>
      <c r="M89" s="47" t="s">
        <v>4033</v>
      </c>
      <c r="N89" s="33" t="str">
        <f>HYPERLINK("http://services.igi-global.com/resolvedoi/resolve.aspx?doi=10.4018/978-1-59904-814-7")</f>
        <v>http://services.igi-global.com/resolvedoi/resolve.aspx?doi=10.4018/978-1-59904-814-7</v>
      </c>
    </row>
    <row r="90" spans="1:14">
      <c r="A90" s="47">
        <v>89</v>
      </c>
      <c r="B90" s="47" t="s">
        <v>571</v>
      </c>
      <c r="C90" s="47" t="s">
        <v>4284</v>
      </c>
      <c r="D90" s="48" t="s">
        <v>4078</v>
      </c>
      <c r="E90" s="48" t="s">
        <v>4285</v>
      </c>
      <c r="F90" s="47" t="s">
        <v>4286</v>
      </c>
      <c r="G90" s="47" t="s">
        <v>4287</v>
      </c>
      <c r="H90" s="47" t="s">
        <v>4288</v>
      </c>
      <c r="I90" s="47" t="s">
        <v>3987</v>
      </c>
      <c r="J90" s="47" t="s">
        <v>3987</v>
      </c>
      <c r="K90" s="47" t="s">
        <v>4289</v>
      </c>
      <c r="L90" s="47" t="s">
        <v>569</v>
      </c>
      <c r="M90" s="47" t="s">
        <v>3989</v>
      </c>
      <c r="N90" s="33" t="str">
        <f>HYPERLINK("http://services.igi-global.com/resolvedoi/resolve.aspx?doi=10.4018/978-1-61692-800-1")</f>
        <v>http://services.igi-global.com/resolvedoi/resolve.aspx?doi=10.4018/978-1-61692-800-1</v>
      </c>
    </row>
    <row r="91" spans="1:14">
      <c r="A91" s="47">
        <v>90</v>
      </c>
      <c r="B91" s="47" t="s">
        <v>571</v>
      </c>
      <c r="C91" s="47" t="s">
        <v>4284</v>
      </c>
      <c r="D91" s="48" t="s">
        <v>4296</v>
      </c>
      <c r="E91" s="48" t="s">
        <v>4297</v>
      </c>
      <c r="F91" s="47" t="s">
        <v>4298</v>
      </c>
      <c r="G91" s="47" t="s">
        <v>4299</v>
      </c>
      <c r="H91" s="47" t="s">
        <v>4300</v>
      </c>
      <c r="I91" s="47" t="s">
        <v>3987</v>
      </c>
      <c r="J91" s="47" t="s">
        <v>3987</v>
      </c>
      <c r="K91" s="47" t="s">
        <v>4301</v>
      </c>
      <c r="L91" s="47" t="s">
        <v>569</v>
      </c>
      <c r="M91" s="47" t="s">
        <v>3989</v>
      </c>
      <c r="N91" s="33" t="str">
        <f>HYPERLINK("http://services.igi-global.com/resolvedoi/resolve.aspx?doi=10.4018/978-1-60960-619-0")</f>
        <v>http://services.igi-global.com/resolvedoi/resolve.aspx?doi=10.4018/978-1-60960-619-0</v>
      </c>
    </row>
    <row r="92" spans="1:14">
      <c r="A92" s="47">
        <v>91</v>
      </c>
      <c r="B92" s="47" t="s">
        <v>571</v>
      </c>
      <c r="C92" s="47" t="s">
        <v>4284</v>
      </c>
      <c r="D92" s="48" t="s">
        <v>4001</v>
      </c>
      <c r="E92" s="48" t="s">
        <v>4879</v>
      </c>
      <c r="F92" s="47" t="s">
        <v>4880</v>
      </c>
      <c r="G92" s="47" t="s">
        <v>4881</v>
      </c>
      <c r="H92" s="47" t="s">
        <v>4882</v>
      </c>
      <c r="I92" s="47" t="s">
        <v>3987</v>
      </c>
      <c r="J92" s="47" t="s">
        <v>3987</v>
      </c>
      <c r="K92" s="47" t="s">
        <v>4056</v>
      </c>
      <c r="L92" s="47" t="s">
        <v>569</v>
      </c>
      <c r="M92" s="47" t="s">
        <v>3989</v>
      </c>
      <c r="N92" s="33" t="str">
        <f>HYPERLINK("http://services.igi-global.com/resolvedoi/resolve.aspx?doi=10.4018/978-1-61692-846-9")</f>
        <v>http://services.igi-global.com/resolvedoi/resolve.aspx?doi=10.4018/978-1-61692-846-9</v>
      </c>
    </row>
    <row r="93" spans="1:14">
      <c r="A93" s="47">
        <v>92</v>
      </c>
      <c r="B93" s="47" t="s">
        <v>571</v>
      </c>
      <c r="C93" s="47" t="s">
        <v>4284</v>
      </c>
      <c r="D93" s="48" t="s">
        <v>4290</v>
      </c>
      <c r="E93" s="48" t="s">
        <v>4291</v>
      </c>
      <c r="F93" s="47" t="s">
        <v>4292</v>
      </c>
      <c r="G93" s="47" t="s">
        <v>4293</v>
      </c>
      <c r="H93" s="47" t="s">
        <v>4294</v>
      </c>
      <c r="I93" s="47" t="s">
        <v>3987</v>
      </c>
      <c r="J93" s="47" t="s">
        <v>3987</v>
      </c>
      <c r="K93" s="47" t="s">
        <v>4295</v>
      </c>
      <c r="L93" s="47" t="s">
        <v>569</v>
      </c>
      <c r="M93" s="47" t="s">
        <v>4007</v>
      </c>
      <c r="N93" s="33" t="str">
        <f>HYPERLINK("http://services.igi-global.com/resolvedoi/resolve.aspx?doi=10.4018/978-1-61520-881-4")</f>
        <v>http://services.igi-global.com/resolvedoi/resolve.aspx?doi=10.4018/978-1-61520-881-4</v>
      </c>
    </row>
    <row r="94" spans="1:14">
      <c r="A94" s="47">
        <v>93</v>
      </c>
      <c r="B94" s="47" t="s">
        <v>571</v>
      </c>
      <c r="C94" s="47" t="s">
        <v>4284</v>
      </c>
      <c r="D94" s="48" t="s">
        <v>4873</v>
      </c>
      <c r="E94" s="48" t="s">
        <v>4874</v>
      </c>
      <c r="F94" s="47" t="s">
        <v>4875</v>
      </c>
      <c r="G94" s="47" t="s">
        <v>4876</v>
      </c>
      <c r="H94" s="47" t="s">
        <v>4877</v>
      </c>
      <c r="I94" s="47" t="s">
        <v>3987</v>
      </c>
      <c r="J94" s="47" t="s">
        <v>3987</v>
      </c>
      <c r="K94" s="47" t="s">
        <v>4878</v>
      </c>
      <c r="L94" s="47" t="s">
        <v>569</v>
      </c>
      <c r="M94" s="47" t="s">
        <v>4007</v>
      </c>
      <c r="N94" s="33" t="str">
        <f>HYPERLINK("http://services.igi-global.com/resolvedoi/resolve.aspx?doi=10.4018/978-1-60566-737-9")</f>
        <v>http://services.igi-global.com/resolvedoi/resolve.aspx?doi=10.4018/978-1-60566-737-9</v>
      </c>
    </row>
    <row r="95" spans="1:14">
      <c r="A95" s="47">
        <v>94</v>
      </c>
      <c r="B95" s="47" t="s">
        <v>571</v>
      </c>
      <c r="C95" s="47" t="s">
        <v>4284</v>
      </c>
      <c r="D95" s="48" t="s">
        <v>520</v>
      </c>
      <c r="E95" s="48" t="s">
        <v>4302</v>
      </c>
      <c r="F95" s="47" t="s">
        <v>4303</v>
      </c>
      <c r="G95" s="47" t="s">
        <v>4304</v>
      </c>
      <c r="H95" s="47" t="s">
        <v>4305</v>
      </c>
      <c r="I95" s="47" t="s">
        <v>3987</v>
      </c>
      <c r="J95" s="47" t="s">
        <v>3987</v>
      </c>
      <c r="K95" s="47" t="s">
        <v>4306</v>
      </c>
      <c r="L95" s="47" t="s">
        <v>569</v>
      </c>
      <c r="M95" s="47" t="s">
        <v>4007</v>
      </c>
      <c r="N95" s="33" t="str">
        <f>HYPERLINK("http://services.igi-global.com/resolvedoi/resolve.aspx?doi=10.4018/978-1-61692-022-7")</f>
        <v>http://services.igi-global.com/resolvedoi/resolve.aspx?doi=10.4018/978-1-61692-022-7</v>
      </c>
    </row>
    <row r="96" spans="1:14">
      <c r="A96" s="47">
        <v>95</v>
      </c>
      <c r="B96" s="47" t="s">
        <v>571</v>
      </c>
      <c r="C96" s="47" t="s">
        <v>4284</v>
      </c>
      <c r="D96" s="48" t="s">
        <v>4307</v>
      </c>
      <c r="E96" s="48" t="s">
        <v>4308</v>
      </c>
      <c r="F96" s="47" t="s">
        <v>4309</v>
      </c>
      <c r="G96" s="47" t="s">
        <v>4310</v>
      </c>
      <c r="H96" s="47" t="s">
        <v>4311</v>
      </c>
      <c r="I96" s="47" t="s">
        <v>3987</v>
      </c>
      <c r="J96" s="47" t="s">
        <v>3987</v>
      </c>
      <c r="K96" s="47" t="s">
        <v>4306</v>
      </c>
      <c r="L96" s="47" t="s">
        <v>569</v>
      </c>
      <c r="M96" s="47" t="s">
        <v>4007</v>
      </c>
      <c r="N96" s="33" t="str">
        <f>HYPERLINK("http://services.igi-global.com/resolvedoi/resolve.aspx?doi=10.4018/978-1-61520-775-6")</f>
        <v>http://services.igi-global.com/resolvedoi/resolve.aspx?doi=10.4018/978-1-61520-775-6</v>
      </c>
    </row>
    <row r="97" spans="1:14">
      <c r="A97" s="47">
        <v>96</v>
      </c>
      <c r="B97" s="47" t="s">
        <v>571</v>
      </c>
      <c r="C97" s="47" t="s">
        <v>560</v>
      </c>
      <c r="D97" s="48" t="s">
        <v>521</v>
      </c>
      <c r="E97" s="48" t="s">
        <v>4312</v>
      </c>
      <c r="F97" s="47" t="s">
        <v>4313</v>
      </c>
      <c r="G97" s="47" t="s">
        <v>4314</v>
      </c>
      <c r="H97" s="47" t="s">
        <v>4315</v>
      </c>
      <c r="I97" s="47" t="s">
        <v>3987</v>
      </c>
      <c r="J97" s="47" t="s">
        <v>3987</v>
      </c>
      <c r="K97" s="47" t="s">
        <v>4316</v>
      </c>
      <c r="L97" s="47" t="s">
        <v>569</v>
      </c>
      <c r="M97" s="47" t="s">
        <v>3989</v>
      </c>
      <c r="N97" s="33" t="str">
        <f>HYPERLINK("http://services.igi-global.com/resolvedoi/resolve.aspx?doi=10.4018/978-1-61692-892-6")</f>
        <v>http://services.igi-global.com/resolvedoi/resolve.aspx?doi=10.4018/978-1-61692-892-6</v>
      </c>
    </row>
    <row r="98" spans="1:14">
      <c r="A98" s="47">
        <v>97</v>
      </c>
      <c r="B98" s="47" t="s">
        <v>571</v>
      </c>
      <c r="C98" s="47" t="s">
        <v>560</v>
      </c>
      <c r="D98" s="48" t="s">
        <v>522</v>
      </c>
      <c r="E98" s="48" t="s">
        <v>4321</v>
      </c>
      <c r="F98" s="47" t="s">
        <v>4322</v>
      </c>
      <c r="G98" s="47" t="s">
        <v>4323</v>
      </c>
      <c r="H98" s="47" t="s">
        <v>4324</v>
      </c>
      <c r="I98" s="47" t="s">
        <v>3987</v>
      </c>
      <c r="J98" s="47" t="s">
        <v>3987</v>
      </c>
      <c r="K98" s="47" t="s">
        <v>4325</v>
      </c>
      <c r="L98" s="47" t="s">
        <v>569</v>
      </c>
      <c r="M98" s="47" t="s">
        <v>3989</v>
      </c>
      <c r="N98" s="33" t="str">
        <f>HYPERLINK("http://services.igi-global.com/resolvedoi/resolve.aspx?doi=10.4018/978-1-60960-168-3")</f>
        <v>http://services.igi-global.com/resolvedoi/resolve.aspx?doi=10.4018/978-1-60960-168-3</v>
      </c>
    </row>
    <row r="99" spans="1:14">
      <c r="A99" s="47">
        <v>98</v>
      </c>
      <c r="B99" s="47" t="s">
        <v>571</v>
      </c>
      <c r="C99" s="47" t="s">
        <v>560</v>
      </c>
      <c r="D99" s="48" t="s">
        <v>4883</v>
      </c>
      <c r="E99" s="48" t="s">
        <v>4884</v>
      </c>
      <c r="F99" s="47" t="s">
        <v>4885</v>
      </c>
      <c r="G99" s="47" t="s">
        <v>4886</v>
      </c>
      <c r="H99" s="47" t="s">
        <v>4887</v>
      </c>
      <c r="I99" s="47" t="s">
        <v>3987</v>
      </c>
      <c r="J99" s="47" t="s">
        <v>3987</v>
      </c>
      <c r="K99" s="47" t="s">
        <v>1925</v>
      </c>
      <c r="L99" s="47" t="s">
        <v>569</v>
      </c>
      <c r="M99" s="47" t="s">
        <v>3989</v>
      </c>
      <c r="N99" s="33" t="str">
        <f>HYPERLINK("http://services.igi-global.com/resolvedoi/resolve.aspx?doi=10.4018/978-1-60960-551-3")</f>
        <v>http://services.igi-global.com/resolvedoi/resolve.aspx?doi=10.4018/978-1-60960-551-3</v>
      </c>
    </row>
    <row r="100" spans="1:14">
      <c r="A100" s="47">
        <v>99</v>
      </c>
      <c r="B100" s="47" t="s">
        <v>571</v>
      </c>
      <c r="C100" s="47" t="s">
        <v>560</v>
      </c>
      <c r="D100" s="48" t="s">
        <v>4326</v>
      </c>
      <c r="E100" s="48" t="s">
        <v>4327</v>
      </c>
      <c r="F100" s="47" t="s">
        <v>4328</v>
      </c>
      <c r="G100" s="47" t="s">
        <v>4329</v>
      </c>
      <c r="H100" s="47" t="s">
        <v>4330</v>
      </c>
      <c r="I100" s="47" t="s">
        <v>3987</v>
      </c>
      <c r="J100" s="47" t="s">
        <v>3987</v>
      </c>
      <c r="K100" s="47" t="s">
        <v>4331</v>
      </c>
      <c r="L100" s="47" t="s">
        <v>561</v>
      </c>
      <c r="M100" s="47" t="s">
        <v>3989</v>
      </c>
      <c r="N100" s="33" t="str">
        <f>HYPERLINK("http://services.igi-global.com/resolvedoi/resolve.aspx?doi=10.4018/978-1-60960-021-1")</f>
        <v>http://services.igi-global.com/resolvedoi/resolve.aspx?doi=10.4018/978-1-60960-021-1</v>
      </c>
    </row>
    <row r="101" spans="1:14">
      <c r="A101" s="47">
        <v>100</v>
      </c>
      <c r="B101" s="47" t="s">
        <v>571</v>
      </c>
      <c r="C101" s="47" t="s">
        <v>560</v>
      </c>
      <c r="D101" s="48" t="s">
        <v>4332</v>
      </c>
      <c r="E101" s="48" t="s">
        <v>4333</v>
      </c>
      <c r="F101" s="47" t="s">
        <v>4334</v>
      </c>
      <c r="G101" s="47" t="s">
        <v>4335</v>
      </c>
      <c r="H101" s="47" t="s">
        <v>4336</v>
      </c>
      <c r="I101" s="47" t="s">
        <v>3987</v>
      </c>
      <c r="J101" s="47" t="s">
        <v>3987</v>
      </c>
      <c r="K101" s="47" t="s">
        <v>4337</v>
      </c>
      <c r="L101" s="47" t="s">
        <v>569</v>
      </c>
      <c r="M101" s="47" t="s">
        <v>3989</v>
      </c>
      <c r="N101" s="33" t="str">
        <f>HYPERLINK("http://services.igi-global.com/resolvedoi/resolve.aspx?doi=10.4018/978-1-60960-024-2")</f>
        <v>http://services.igi-global.com/resolvedoi/resolve.aspx?doi=10.4018/978-1-60960-024-2</v>
      </c>
    </row>
    <row r="102" spans="1:14">
      <c r="A102" s="47">
        <v>101</v>
      </c>
      <c r="B102" s="47" t="s">
        <v>571</v>
      </c>
      <c r="C102" s="47" t="s">
        <v>560</v>
      </c>
      <c r="D102" s="48" t="s">
        <v>500</v>
      </c>
      <c r="E102" s="48" t="s">
        <v>4888</v>
      </c>
      <c r="F102" s="47" t="s">
        <v>4889</v>
      </c>
      <c r="G102" s="47" t="s">
        <v>4890</v>
      </c>
      <c r="H102" s="47" t="s">
        <v>4891</v>
      </c>
      <c r="I102" s="47" t="s">
        <v>3987</v>
      </c>
      <c r="J102" s="47" t="s">
        <v>3987</v>
      </c>
      <c r="K102" s="47" t="s">
        <v>4892</v>
      </c>
      <c r="L102" s="47" t="s">
        <v>569</v>
      </c>
      <c r="M102" s="47" t="s">
        <v>3989</v>
      </c>
      <c r="N102" s="33" t="str">
        <f>HYPERLINK("http://services.igi-global.com/resolvedoi/resolve.aspx?doi=10.4018/978-1-60960-617-6")</f>
        <v>http://services.igi-global.com/resolvedoi/resolve.aspx?doi=10.4018/978-1-60960-617-6</v>
      </c>
    </row>
    <row r="103" spans="1:14">
      <c r="A103" s="47">
        <v>102</v>
      </c>
      <c r="B103" s="47" t="s">
        <v>571</v>
      </c>
      <c r="C103" s="47" t="s">
        <v>560</v>
      </c>
      <c r="D103" s="48" t="s">
        <v>500</v>
      </c>
      <c r="E103" s="48" t="s">
        <v>4338</v>
      </c>
      <c r="F103" s="47" t="s">
        <v>4339</v>
      </c>
      <c r="G103" s="47" t="s">
        <v>4340</v>
      </c>
      <c r="H103" s="47" t="s">
        <v>4341</v>
      </c>
      <c r="I103" s="47" t="s">
        <v>3987</v>
      </c>
      <c r="J103" s="47" t="s">
        <v>3987</v>
      </c>
      <c r="K103" s="47" t="s">
        <v>4342</v>
      </c>
      <c r="L103" s="47" t="s">
        <v>569</v>
      </c>
      <c r="M103" s="47" t="s">
        <v>3989</v>
      </c>
      <c r="N103" s="33" t="str">
        <f>HYPERLINK("http://services.igi-global.com/resolvedoi/resolve.aspx?doi=10.4018/978-1-60960-171-3")</f>
        <v>http://services.igi-global.com/resolvedoi/resolve.aspx?doi=10.4018/978-1-60960-171-3</v>
      </c>
    </row>
    <row r="104" spans="1:14">
      <c r="A104" s="47">
        <v>103</v>
      </c>
      <c r="B104" s="47" t="s">
        <v>571</v>
      </c>
      <c r="C104" s="47" t="s">
        <v>560</v>
      </c>
      <c r="D104" s="48" t="s">
        <v>521</v>
      </c>
      <c r="E104" s="48" t="s">
        <v>4343</v>
      </c>
      <c r="F104" s="47" t="s">
        <v>4344</v>
      </c>
      <c r="G104" s="47" t="s">
        <v>4345</v>
      </c>
      <c r="H104" s="47" t="s">
        <v>4346</v>
      </c>
      <c r="I104" s="47" t="s">
        <v>3987</v>
      </c>
      <c r="J104" s="47" t="s">
        <v>3987</v>
      </c>
      <c r="K104" s="47" t="s">
        <v>4347</v>
      </c>
      <c r="L104" s="47" t="s">
        <v>569</v>
      </c>
      <c r="M104" s="47" t="s">
        <v>3989</v>
      </c>
      <c r="N104" s="33" t="str">
        <f>HYPERLINK("http://services.igi-global.com/resolvedoi/resolve.aspx?doi=10.4018/978-1-61692-857-5")</f>
        <v>http://services.igi-global.com/resolvedoi/resolve.aspx?doi=10.4018/978-1-61692-857-5</v>
      </c>
    </row>
    <row r="105" spans="1:14">
      <c r="A105" s="47">
        <v>104</v>
      </c>
      <c r="B105" s="47" t="s">
        <v>571</v>
      </c>
      <c r="C105" s="47" t="s">
        <v>560</v>
      </c>
      <c r="D105" s="48" t="s">
        <v>4893</v>
      </c>
      <c r="E105" s="48" t="s">
        <v>4894</v>
      </c>
      <c r="F105" s="47" t="s">
        <v>4895</v>
      </c>
      <c r="G105" s="47" t="s">
        <v>4896</v>
      </c>
      <c r="H105" s="47" t="s">
        <v>4897</v>
      </c>
      <c r="I105" s="47" t="s">
        <v>3987</v>
      </c>
      <c r="J105" s="47" t="s">
        <v>3987</v>
      </c>
      <c r="K105" s="47" t="s">
        <v>4898</v>
      </c>
      <c r="L105" s="47" t="s">
        <v>561</v>
      </c>
      <c r="M105" s="47" t="s">
        <v>3989</v>
      </c>
      <c r="N105" s="33" t="str">
        <f>HYPERLINK("http://services.igi-global.com/resolvedoi/resolve.aspx?doi=10.4018/978-1-61520-915-6")</f>
        <v>http://services.igi-global.com/resolvedoi/resolve.aspx?doi=10.4018/978-1-61520-915-6</v>
      </c>
    </row>
    <row r="106" spans="1:14">
      <c r="A106" s="47">
        <v>105</v>
      </c>
      <c r="B106" s="47" t="s">
        <v>571</v>
      </c>
      <c r="C106" s="47" t="s">
        <v>560</v>
      </c>
      <c r="D106" s="48" t="s">
        <v>491</v>
      </c>
      <c r="E106" s="48" t="s">
        <v>4899</v>
      </c>
      <c r="F106" s="47" t="s">
        <v>4900</v>
      </c>
      <c r="G106" s="47" t="s">
        <v>4901</v>
      </c>
      <c r="H106" s="47" t="s">
        <v>4902</v>
      </c>
      <c r="I106" s="47" t="s">
        <v>3987</v>
      </c>
      <c r="J106" s="47" t="s">
        <v>3987</v>
      </c>
      <c r="K106" s="47" t="s">
        <v>575</v>
      </c>
      <c r="L106" s="47" t="s">
        <v>569</v>
      </c>
      <c r="M106" s="47" t="s">
        <v>3989</v>
      </c>
      <c r="N106" s="33" t="str">
        <f>HYPERLINK("http://services.igi-global.com/resolvedoi/resolve.aspx?doi=10.4018/978-1-60960-595-7")</f>
        <v>http://services.igi-global.com/resolvedoi/resolve.aspx?doi=10.4018/978-1-60960-595-7</v>
      </c>
    </row>
    <row r="107" spans="1:14">
      <c r="A107" s="47">
        <v>106</v>
      </c>
      <c r="B107" s="47" t="s">
        <v>571</v>
      </c>
      <c r="C107" s="47" t="s">
        <v>560</v>
      </c>
      <c r="D107" s="48" t="s">
        <v>4883</v>
      </c>
      <c r="E107" s="48" t="s">
        <v>4903</v>
      </c>
      <c r="F107" s="47" t="s">
        <v>4904</v>
      </c>
      <c r="G107" s="47" t="s">
        <v>4905</v>
      </c>
      <c r="H107" s="47" t="s">
        <v>4906</v>
      </c>
      <c r="I107" s="47" t="s">
        <v>3987</v>
      </c>
      <c r="J107" s="47" t="s">
        <v>3987</v>
      </c>
      <c r="K107" s="47" t="s">
        <v>576</v>
      </c>
      <c r="L107" s="47" t="s">
        <v>569</v>
      </c>
      <c r="M107" s="47" t="s">
        <v>3989</v>
      </c>
      <c r="N107" s="33" t="str">
        <f>HYPERLINK("http://services.igi-global.com/resolvedoi/resolve.aspx?doi=10.4018/978-1-61692-859-9")</f>
        <v>http://services.igi-global.com/resolvedoi/resolve.aspx?doi=10.4018/978-1-61692-859-9</v>
      </c>
    </row>
    <row r="108" spans="1:14">
      <c r="A108" s="47">
        <v>107</v>
      </c>
      <c r="B108" s="47" t="s">
        <v>571</v>
      </c>
      <c r="C108" s="47" t="s">
        <v>560</v>
      </c>
      <c r="D108" s="48" t="s">
        <v>501</v>
      </c>
      <c r="E108" s="48" t="s">
        <v>4907</v>
      </c>
      <c r="F108" s="47" t="s">
        <v>4908</v>
      </c>
      <c r="G108" s="47" t="s">
        <v>4909</v>
      </c>
      <c r="H108" s="47" t="s">
        <v>4910</v>
      </c>
      <c r="I108" s="47" t="s">
        <v>3987</v>
      </c>
      <c r="J108" s="47" t="s">
        <v>3987</v>
      </c>
      <c r="K108" s="47" t="s">
        <v>4911</v>
      </c>
      <c r="L108" s="47" t="s">
        <v>561</v>
      </c>
      <c r="M108" s="47" t="s">
        <v>3989</v>
      </c>
      <c r="N108" s="33" t="str">
        <f>HYPERLINK("http://services.igi-global.com/resolvedoi/resolve.aspx?doi=10.4018/978-1-60566-898-7")</f>
        <v>http://services.igi-global.com/resolvedoi/resolve.aspx?doi=10.4018/978-1-60566-898-7</v>
      </c>
    </row>
    <row r="109" spans="1:14">
      <c r="A109" s="47">
        <v>108</v>
      </c>
      <c r="B109" s="47" t="s">
        <v>571</v>
      </c>
      <c r="C109" s="47" t="s">
        <v>560</v>
      </c>
      <c r="D109" s="48" t="s">
        <v>501</v>
      </c>
      <c r="E109" s="48" t="s">
        <v>4317</v>
      </c>
      <c r="F109" s="47" t="s">
        <v>4318</v>
      </c>
      <c r="G109" s="47" t="s">
        <v>4319</v>
      </c>
      <c r="H109" s="47" t="s">
        <v>4320</v>
      </c>
      <c r="I109" s="47" t="s">
        <v>3987</v>
      </c>
      <c r="J109" s="47" t="s">
        <v>3987</v>
      </c>
      <c r="K109" s="47" t="s">
        <v>3326</v>
      </c>
      <c r="L109" s="47" t="s">
        <v>569</v>
      </c>
      <c r="M109" s="47" t="s">
        <v>4007</v>
      </c>
      <c r="N109" s="33" t="str">
        <f>HYPERLINK("http://services.igi-global.com/resolvedoi/resolve.aspx?doi=10.4018/978-1-61520-711-4")</f>
        <v>http://services.igi-global.com/resolvedoi/resolve.aspx?doi=10.4018/978-1-61520-711-4</v>
      </c>
    </row>
    <row r="110" spans="1:14">
      <c r="A110" s="47">
        <v>109</v>
      </c>
      <c r="B110" s="47" t="s">
        <v>571</v>
      </c>
      <c r="C110" s="47" t="s">
        <v>560</v>
      </c>
      <c r="D110" s="48" t="s">
        <v>4193</v>
      </c>
      <c r="E110" s="48" t="s">
        <v>4348</v>
      </c>
      <c r="F110" s="47" t="s">
        <v>4349</v>
      </c>
      <c r="G110" s="47" t="s">
        <v>4350</v>
      </c>
      <c r="H110" s="47" t="s">
        <v>4351</v>
      </c>
      <c r="I110" s="47" t="s">
        <v>4245</v>
      </c>
      <c r="J110" s="47" t="s">
        <v>3987</v>
      </c>
      <c r="K110" s="47" t="s">
        <v>4352</v>
      </c>
      <c r="L110" s="47" t="s">
        <v>569</v>
      </c>
      <c r="M110" s="47" t="s">
        <v>4007</v>
      </c>
      <c r="N110" s="33" t="str">
        <f>HYPERLINK("http://services.igi-global.com/resolvedoi/resolve.aspx?doi=10.4018/978-1-60566-766-9")</f>
        <v>http://services.igi-global.com/resolvedoi/resolve.aspx?doi=10.4018/978-1-60566-766-9</v>
      </c>
    </row>
    <row r="111" spans="1:14">
      <c r="A111" s="47">
        <v>110</v>
      </c>
      <c r="B111" s="47" t="s">
        <v>571</v>
      </c>
      <c r="C111" s="47" t="s">
        <v>560</v>
      </c>
      <c r="D111" s="48" t="s">
        <v>500</v>
      </c>
      <c r="E111" s="48" t="s">
        <v>4353</v>
      </c>
      <c r="F111" s="47" t="s">
        <v>4354</v>
      </c>
      <c r="G111" s="47" t="s">
        <v>4355</v>
      </c>
      <c r="H111" s="47" t="s">
        <v>4356</v>
      </c>
      <c r="I111" s="47" t="s">
        <v>3987</v>
      </c>
      <c r="J111" s="47" t="s">
        <v>3987</v>
      </c>
      <c r="K111" s="47" t="s">
        <v>4357</v>
      </c>
      <c r="L111" s="47" t="s">
        <v>569</v>
      </c>
      <c r="M111" s="47" t="s">
        <v>4033</v>
      </c>
      <c r="N111" s="33" t="str">
        <f>HYPERLINK("http://services.igi-global.com/resolvedoi/resolve.aspx?doi=10.4018/978-1-60566-256-5")</f>
        <v>http://services.igi-global.com/resolvedoi/resolve.aspx?doi=10.4018/978-1-60566-256-5</v>
      </c>
    </row>
    <row r="112" spans="1:14">
      <c r="A112" s="47">
        <v>111</v>
      </c>
      <c r="B112" s="47" t="s">
        <v>571</v>
      </c>
      <c r="C112" s="47" t="s">
        <v>560</v>
      </c>
      <c r="D112" s="48" t="s">
        <v>4358</v>
      </c>
      <c r="E112" s="48" t="s">
        <v>4359</v>
      </c>
      <c r="F112" s="47" t="s">
        <v>4360</v>
      </c>
      <c r="G112" s="47" t="s">
        <v>4361</v>
      </c>
      <c r="H112" s="47" t="s">
        <v>4362</v>
      </c>
      <c r="I112" s="47" t="s">
        <v>3987</v>
      </c>
      <c r="J112" s="47" t="s">
        <v>3987</v>
      </c>
      <c r="K112" s="47" t="s">
        <v>4363</v>
      </c>
      <c r="L112" s="47" t="s">
        <v>569</v>
      </c>
      <c r="M112" s="47" t="s">
        <v>4033</v>
      </c>
      <c r="N112" s="33" t="str">
        <f>HYPERLINK("http://services.igi-global.com/resolvedoi/resolve.aspx?doi=10.4018/978-1-60566-354-8")</f>
        <v>http://services.igi-global.com/resolvedoi/resolve.aspx?doi=10.4018/978-1-60566-354-8</v>
      </c>
    </row>
    <row r="113" spans="1:14">
      <c r="A113" s="47">
        <v>112</v>
      </c>
      <c r="B113" s="47" t="s">
        <v>571</v>
      </c>
      <c r="C113" s="47" t="s">
        <v>4364</v>
      </c>
      <c r="D113" s="48" t="s">
        <v>4365</v>
      </c>
      <c r="E113" s="48" t="s">
        <v>4366</v>
      </c>
      <c r="F113" s="47" t="s">
        <v>4367</v>
      </c>
      <c r="G113" s="47" t="s">
        <v>4368</v>
      </c>
      <c r="H113" s="47" t="s">
        <v>4369</v>
      </c>
      <c r="I113" s="47" t="s">
        <v>4245</v>
      </c>
      <c r="J113" s="47" t="s">
        <v>4245</v>
      </c>
      <c r="K113" s="47" t="s">
        <v>4370</v>
      </c>
      <c r="L113" s="47" t="s">
        <v>569</v>
      </c>
      <c r="M113" s="47" t="s">
        <v>3989</v>
      </c>
      <c r="N113" s="33" t="str">
        <f>HYPERLINK("http://services.igi-global.com/resolvedoi/resolve.aspx?doi=10.4018/978-1-59904-931-1")</f>
        <v>http://services.igi-global.com/resolvedoi/resolve.aspx?doi=10.4018/978-1-59904-931-1</v>
      </c>
    </row>
    <row r="114" spans="1:14">
      <c r="A114" s="47">
        <v>113</v>
      </c>
      <c r="B114" s="47" t="s">
        <v>571</v>
      </c>
      <c r="C114" s="47" t="s">
        <v>4364</v>
      </c>
      <c r="D114" s="48" t="s">
        <v>4371</v>
      </c>
      <c r="E114" s="48" t="s">
        <v>4372</v>
      </c>
      <c r="F114" s="47" t="s">
        <v>4373</v>
      </c>
      <c r="G114" s="47" t="s">
        <v>4374</v>
      </c>
      <c r="H114" s="47" t="s">
        <v>4375</v>
      </c>
      <c r="I114" s="47" t="s">
        <v>3987</v>
      </c>
      <c r="J114" s="47" t="s">
        <v>3987</v>
      </c>
      <c r="K114" s="47" t="s">
        <v>4376</v>
      </c>
      <c r="L114" s="47" t="s">
        <v>569</v>
      </c>
      <c r="M114" s="47" t="s">
        <v>3989</v>
      </c>
      <c r="N114" s="33" t="str">
        <f>HYPERLINK("http://services.igi-global.com/resolvedoi/resolve.aspx?doi=10.4018/978-1-60960-031-0")</f>
        <v>http://services.igi-global.com/resolvedoi/resolve.aspx?doi=10.4018/978-1-60960-031-0</v>
      </c>
    </row>
    <row r="115" spans="1:14">
      <c r="A115" s="47">
        <v>114</v>
      </c>
      <c r="B115" s="47" t="s">
        <v>571</v>
      </c>
      <c r="C115" s="47" t="s">
        <v>4364</v>
      </c>
      <c r="D115" s="48" t="s">
        <v>491</v>
      </c>
      <c r="E115" s="48" t="s">
        <v>4377</v>
      </c>
      <c r="F115" s="47" t="s">
        <v>4378</v>
      </c>
      <c r="G115" s="47" t="s">
        <v>4379</v>
      </c>
      <c r="H115" s="47" t="s">
        <v>4380</v>
      </c>
      <c r="I115" s="47" t="s">
        <v>3987</v>
      </c>
      <c r="J115" s="47" t="s">
        <v>3987</v>
      </c>
      <c r="K115" s="47" t="s">
        <v>4381</v>
      </c>
      <c r="L115" s="47" t="s">
        <v>568</v>
      </c>
      <c r="M115" s="47" t="s">
        <v>3989</v>
      </c>
      <c r="N115" s="33" t="str">
        <f>HYPERLINK("http://services.igi-global.com/resolvedoi/resolve.aspx?doi=10.4018/978-1-61692-016-6")</f>
        <v>http://services.igi-global.com/resolvedoi/resolve.aspx?doi=10.4018/978-1-61692-016-6</v>
      </c>
    </row>
    <row r="116" spans="1:14">
      <c r="A116" s="47">
        <v>115</v>
      </c>
      <c r="B116" s="47" t="s">
        <v>571</v>
      </c>
      <c r="C116" s="47" t="s">
        <v>4364</v>
      </c>
      <c r="D116" s="48" t="s">
        <v>4382</v>
      </c>
      <c r="E116" s="48" t="s">
        <v>4383</v>
      </c>
      <c r="F116" s="47" t="s">
        <v>4384</v>
      </c>
      <c r="G116" s="47" t="s">
        <v>4385</v>
      </c>
      <c r="H116" s="47" t="s">
        <v>4386</v>
      </c>
      <c r="I116" s="47" t="s">
        <v>3987</v>
      </c>
      <c r="J116" s="47" t="s">
        <v>3987</v>
      </c>
      <c r="K116" s="47" t="s">
        <v>4387</v>
      </c>
      <c r="L116" s="47" t="s">
        <v>569</v>
      </c>
      <c r="M116" s="47" t="s">
        <v>3989</v>
      </c>
      <c r="N116" s="33" t="str">
        <f>HYPERLINK("http://services.igi-global.com/resolvedoi/resolve.aspx?doi=10.4018/978-1-61520-873-9")</f>
        <v>http://services.igi-global.com/resolvedoi/resolve.aspx?doi=10.4018/978-1-61520-873-9</v>
      </c>
    </row>
    <row r="117" spans="1:14">
      <c r="A117" s="47">
        <v>116</v>
      </c>
      <c r="B117" s="47" t="s">
        <v>571</v>
      </c>
      <c r="C117" s="47" t="s">
        <v>4364</v>
      </c>
      <c r="D117" s="48" t="s">
        <v>4921</v>
      </c>
      <c r="E117" s="48" t="s">
        <v>4922</v>
      </c>
      <c r="F117" s="47" t="s">
        <v>4923</v>
      </c>
      <c r="G117" s="47" t="s">
        <v>4924</v>
      </c>
      <c r="H117" s="47" t="s">
        <v>4925</v>
      </c>
      <c r="I117" s="47" t="s">
        <v>3987</v>
      </c>
      <c r="J117" s="47" t="s">
        <v>3987</v>
      </c>
      <c r="K117" s="47" t="s">
        <v>4926</v>
      </c>
      <c r="L117" s="47" t="s">
        <v>568</v>
      </c>
      <c r="M117" s="47" t="s">
        <v>3989</v>
      </c>
      <c r="N117" s="33" t="str">
        <f>HYPERLINK("http://services.igi-global.com/resolvedoi/resolve.aspx?doi=10.4018/978-1-61520-617-9")</f>
        <v>http://services.igi-global.com/resolvedoi/resolve.aspx?doi=10.4018/978-1-61520-617-9</v>
      </c>
    </row>
    <row r="118" spans="1:14">
      <c r="A118" s="47">
        <v>117</v>
      </c>
      <c r="B118" s="47" t="s">
        <v>571</v>
      </c>
      <c r="C118" s="47" t="s">
        <v>4364</v>
      </c>
      <c r="D118" s="48" t="s">
        <v>503</v>
      </c>
      <c r="E118" s="48" t="s">
        <v>4927</v>
      </c>
      <c r="F118" s="47" t="s">
        <v>4928</v>
      </c>
      <c r="G118" s="47" t="s">
        <v>4929</v>
      </c>
      <c r="H118" s="47" t="s">
        <v>4930</v>
      </c>
      <c r="I118" s="47" t="s">
        <v>3987</v>
      </c>
      <c r="J118" s="47" t="s">
        <v>3987</v>
      </c>
      <c r="K118" s="47" t="s">
        <v>4931</v>
      </c>
      <c r="L118" s="47" t="s">
        <v>569</v>
      </c>
      <c r="M118" s="47" t="s">
        <v>3989</v>
      </c>
      <c r="N118" s="33" t="str">
        <f>HYPERLINK("http://services.igi-global.com/resolvedoi/resolve.aspx?doi=10.4018/978-1-60566-701-0")</f>
        <v>http://services.igi-global.com/resolvedoi/resolve.aspx?doi=10.4018/978-1-60566-701-0</v>
      </c>
    </row>
    <row r="119" spans="1:14">
      <c r="A119" s="47">
        <v>118</v>
      </c>
      <c r="B119" s="47" t="s">
        <v>571</v>
      </c>
      <c r="C119" s="47" t="s">
        <v>4364</v>
      </c>
      <c r="D119" s="48" t="s">
        <v>503</v>
      </c>
      <c r="E119" s="48" t="s">
        <v>4392</v>
      </c>
      <c r="F119" s="47" t="s">
        <v>4393</v>
      </c>
      <c r="G119" s="47" t="s">
        <v>4394</v>
      </c>
      <c r="H119" s="47" t="s">
        <v>4395</v>
      </c>
      <c r="I119" s="47" t="s">
        <v>3987</v>
      </c>
      <c r="J119" s="47" t="s">
        <v>3987</v>
      </c>
      <c r="K119" s="47" t="s">
        <v>4396</v>
      </c>
      <c r="L119" s="47" t="s">
        <v>569</v>
      </c>
      <c r="M119" s="47" t="s">
        <v>3989</v>
      </c>
      <c r="N119" s="33" t="str">
        <f>HYPERLINK("http://services.igi-global.com/resolvedoi/resolve.aspx?doi=10.4018/978-1-61520-829-6")</f>
        <v>http://services.igi-global.com/resolvedoi/resolve.aspx?doi=10.4018/978-1-61520-829-6</v>
      </c>
    </row>
    <row r="120" spans="1:14">
      <c r="A120" s="47">
        <v>119</v>
      </c>
      <c r="B120" s="47" t="s">
        <v>571</v>
      </c>
      <c r="C120" s="47" t="s">
        <v>4364</v>
      </c>
      <c r="D120" s="48" t="s">
        <v>503</v>
      </c>
      <c r="E120" s="48" t="s">
        <v>4939</v>
      </c>
      <c r="F120" s="47" t="s">
        <v>4940</v>
      </c>
      <c r="G120" s="47" t="s">
        <v>4941</v>
      </c>
      <c r="H120" s="47" t="s">
        <v>4942</v>
      </c>
      <c r="I120" s="47" t="s">
        <v>3987</v>
      </c>
      <c r="J120" s="47" t="s">
        <v>3987</v>
      </c>
      <c r="K120" s="47" t="s">
        <v>4943</v>
      </c>
      <c r="L120" s="47" t="s">
        <v>569</v>
      </c>
      <c r="M120" s="47" t="s">
        <v>3989</v>
      </c>
      <c r="N120" s="33" t="str">
        <f>HYPERLINK("http://services.igi-global.com/resolvedoi/resolve.aspx?doi=10.4018/978-1-61692-886-5")</f>
        <v>http://services.igi-global.com/resolvedoi/resolve.aspx?doi=10.4018/978-1-61692-886-5</v>
      </c>
    </row>
    <row r="121" spans="1:14">
      <c r="A121" s="47">
        <v>120</v>
      </c>
      <c r="B121" s="47" t="s">
        <v>571</v>
      </c>
      <c r="C121" s="47" t="s">
        <v>4364</v>
      </c>
      <c r="D121" s="48" t="s">
        <v>516</v>
      </c>
      <c r="E121" s="48" t="s">
        <v>4402</v>
      </c>
      <c r="F121" s="47" t="s">
        <v>4403</v>
      </c>
      <c r="G121" s="47" t="s">
        <v>4404</v>
      </c>
      <c r="H121" s="47" t="s">
        <v>4405</v>
      </c>
      <c r="I121" s="47" t="s">
        <v>3987</v>
      </c>
      <c r="J121" s="47" t="s">
        <v>3987</v>
      </c>
      <c r="K121" s="47" t="s">
        <v>4406</v>
      </c>
      <c r="L121" s="47" t="s">
        <v>569</v>
      </c>
      <c r="M121" s="47" t="s">
        <v>3989</v>
      </c>
      <c r="N121" s="33" t="str">
        <f>HYPERLINK("http://services.igi-global.com/resolvedoi/resolve.aspx?doi=10.4018/978-1-60960-625-1")</f>
        <v>http://services.igi-global.com/resolvedoi/resolve.aspx?doi=10.4018/978-1-60960-625-1</v>
      </c>
    </row>
    <row r="122" spans="1:14">
      <c r="A122" s="47">
        <v>121</v>
      </c>
      <c r="B122" s="47" t="s">
        <v>571</v>
      </c>
      <c r="C122" s="47" t="s">
        <v>4364</v>
      </c>
      <c r="D122" s="48" t="s">
        <v>503</v>
      </c>
      <c r="E122" s="48" t="s">
        <v>4407</v>
      </c>
      <c r="F122" s="47" t="s">
        <v>4408</v>
      </c>
      <c r="G122" s="47" t="s">
        <v>4409</v>
      </c>
      <c r="H122" s="47" t="s">
        <v>4410</v>
      </c>
      <c r="I122" s="47" t="s">
        <v>3987</v>
      </c>
      <c r="J122" s="47" t="s">
        <v>3987</v>
      </c>
      <c r="K122" s="47" t="s">
        <v>562</v>
      </c>
      <c r="L122" s="47" t="s">
        <v>569</v>
      </c>
      <c r="M122" s="47" t="s">
        <v>3989</v>
      </c>
      <c r="N122" s="33" t="str">
        <f>HYPERLINK("http://services.igi-global.com/resolvedoi/resolve.aspx?doi=10.4018/978-1-60566-709-6")</f>
        <v>http://services.igi-global.com/resolvedoi/resolve.aspx?doi=10.4018/978-1-60566-709-6</v>
      </c>
    </row>
    <row r="123" spans="1:14">
      <c r="A123" s="47">
        <v>122</v>
      </c>
      <c r="B123" s="47" t="s">
        <v>571</v>
      </c>
      <c r="C123" s="47" t="s">
        <v>4364</v>
      </c>
      <c r="D123" s="48" t="s">
        <v>502</v>
      </c>
      <c r="E123" s="48" t="s">
        <v>4912</v>
      </c>
      <c r="F123" s="47" t="s">
        <v>4913</v>
      </c>
      <c r="G123" s="47" t="s">
        <v>4914</v>
      </c>
      <c r="H123" s="47" t="s">
        <v>4915</v>
      </c>
      <c r="I123" s="47" t="s">
        <v>3987</v>
      </c>
      <c r="J123" s="47" t="s">
        <v>3987</v>
      </c>
      <c r="K123" s="47" t="s">
        <v>4916</v>
      </c>
      <c r="L123" s="47" t="s">
        <v>568</v>
      </c>
      <c r="M123" s="47" t="s">
        <v>4007</v>
      </c>
      <c r="N123" s="33" t="str">
        <f>HYPERLINK("http://services.igi-global.com/resolvedoi/resolve.aspx?doi=10.4018/978-1-61520-629-2")</f>
        <v>http://services.igi-global.com/resolvedoi/resolve.aspx?doi=10.4018/978-1-61520-629-2</v>
      </c>
    </row>
    <row r="124" spans="1:14">
      <c r="A124" s="47">
        <v>123</v>
      </c>
      <c r="B124" s="47" t="s">
        <v>571</v>
      </c>
      <c r="C124" s="47" t="s">
        <v>4364</v>
      </c>
      <c r="D124" s="48" t="s">
        <v>4371</v>
      </c>
      <c r="E124" s="48" t="s">
        <v>4917</v>
      </c>
      <c r="F124" s="47" t="s">
        <v>4918</v>
      </c>
      <c r="G124" s="47" t="s">
        <v>4919</v>
      </c>
      <c r="H124" s="47" t="s">
        <v>4920</v>
      </c>
      <c r="I124" s="47" t="s">
        <v>3987</v>
      </c>
      <c r="J124" s="47" t="s">
        <v>3987</v>
      </c>
      <c r="K124" s="47" t="s">
        <v>3440</v>
      </c>
      <c r="L124" s="47" t="s">
        <v>569</v>
      </c>
      <c r="M124" s="47" t="s">
        <v>4007</v>
      </c>
      <c r="N124" s="33" t="str">
        <f>HYPERLINK("http://services.igi-global.com/resolvedoi/resolve.aspx?doi=10.4018/978-1-61520-767-1")</f>
        <v>http://services.igi-global.com/resolvedoi/resolve.aspx?doi=10.4018/978-1-61520-767-1</v>
      </c>
    </row>
    <row r="125" spans="1:14">
      <c r="A125" s="47">
        <v>124</v>
      </c>
      <c r="B125" s="47" t="s">
        <v>571</v>
      </c>
      <c r="C125" s="47" t="s">
        <v>4364</v>
      </c>
      <c r="D125" s="48" t="s">
        <v>503</v>
      </c>
      <c r="E125" s="48" t="s">
        <v>4388</v>
      </c>
      <c r="F125" s="47" t="s">
        <v>4389</v>
      </c>
      <c r="G125" s="47" t="s">
        <v>4390</v>
      </c>
      <c r="H125" s="47" t="s">
        <v>4391</v>
      </c>
      <c r="I125" s="47" t="s">
        <v>3987</v>
      </c>
      <c r="J125" s="47" t="s">
        <v>3987</v>
      </c>
      <c r="K125" s="47" t="s">
        <v>2596</v>
      </c>
      <c r="L125" s="47" t="s">
        <v>569</v>
      </c>
      <c r="M125" s="47" t="s">
        <v>4007</v>
      </c>
      <c r="N125" s="33" t="str">
        <f>HYPERLINK("http://services.igi-global.com/resolvedoi/resolve.aspx?doi=10.4018/978-1-60566-962-5")</f>
        <v>http://services.igi-global.com/resolvedoi/resolve.aspx?doi=10.4018/978-1-60566-962-5</v>
      </c>
    </row>
    <row r="126" spans="1:14">
      <c r="A126" s="47">
        <v>125</v>
      </c>
      <c r="B126" s="47" t="s">
        <v>571</v>
      </c>
      <c r="C126" s="47" t="s">
        <v>4364</v>
      </c>
      <c r="D126" s="48" t="s">
        <v>503</v>
      </c>
      <c r="E126" s="48" t="s">
        <v>4397</v>
      </c>
      <c r="F126" s="47" t="s">
        <v>4398</v>
      </c>
      <c r="G126" s="47" t="s">
        <v>4399</v>
      </c>
      <c r="H126" s="47" t="s">
        <v>4400</v>
      </c>
      <c r="I126" s="47" t="s">
        <v>3987</v>
      </c>
      <c r="J126" s="47" t="s">
        <v>3987</v>
      </c>
      <c r="K126" s="47" t="s">
        <v>4401</v>
      </c>
      <c r="L126" s="47" t="s">
        <v>568</v>
      </c>
      <c r="M126" s="47" t="s">
        <v>4007</v>
      </c>
      <c r="N126" s="33" t="str">
        <f>HYPERLINK("http://services.igi-global.com/resolvedoi/resolve.aspx?doi=10.4018/978-1-60566-348-7")</f>
        <v>http://services.igi-global.com/resolvedoi/resolve.aspx?doi=10.4018/978-1-60566-348-7</v>
      </c>
    </row>
    <row r="127" spans="1:14">
      <c r="A127" s="47">
        <v>126</v>
      </c>
      <c r="B127" s="47" t="s">
        <v>571</v>
      </c>
      <c r="C127" s="47" t="s">
        <v>4364</v>
      </c>
      <c r="D127" s="48" t="s">
        <v>4932</v>
      </c>
      <c r="E127" s="48" t="s">
        <v>4933</v>
      </c>
      <c r="F127" s="47" t="s">
        <v>4934</v>
      </c>
      <c r="G127" s="47" t="s">
        <v>4935</v>
      </c>
      <c r="H127" s="47" t="s">
        <v>4936</v>
      </c>
      <c r="I127" s="47" t="s">
        <v>3987</v>
      </c>
      <c r="J127" s="47" t="s">
        <v>3987</v>
      </c>
      <c r="K127" s="47" t="s">
        <v>4937</v>
      </c>
      <c r="L127" s="47" t="s">
        <v>4119</v>
      </c>
      <c r="M127" s="47" t="s">
        <v>4938</v>
      </c>
      <c r="N127" s="33" t="str">
        <f>HYPERLINK("http://services.igi-global.com/resolvedoi/resolve.aspx?doi=10.4018/978-1-878289-98-8")</f>
        <v>http://services.igi-global.com/resolvedoi/resolve.aspx?doi=10.4018/978-1-878289-98-8</v>
      </c>
    </row>
    <row r="128" spans="1:14">
      <c r="A128" s="47">
        <v>127</v>
      </c>
      <c r="B128" s="47" t="s">
        <v>571</v>
      </c>
      <c r="C128" s="47" t="s">
        <v>563</v>
      </c>
      <c r="D128" s="48" t="s">
        <v>4332</v>
      </c>
      <c r="E128" s="48" t="s">
        <v>4417</v>
      </c>
      <c r="F128" s="47" t="s">
        <v>4418</v>
      </c>
      <c r="G128" s="47" t="s">
        <v>4419</v>
      </c>
      <c r="H128" s="47" t="s">
        <v>4420</v>
      </c>
      <c r="I128" s="47" t="s">
        <v>3987</v>
      </c>
      <c r="J128" s="47" t="s">
        <v>3987</v>
      </c>
      <c r="K128" s="47" t="s">
        <v>4421</v>
      </c>
      <c r="L128" s="47" t="s">
        <v>561</v>
      </c>
      <c r="M128" s="47" t="s">
        <v>3989</v>
      </c>
      <c r="N128" s="33" t="str">
        <f>HYPERLINK("http://services.igi-global.com/resolvedoi/resolve.aspx?doi=10.4018/978-1-61520-991-0")</f>
        <v>http://services.igi-global.com/resolvedoi/resolve.aspx?doi=10.4018/978-1-61520-991-0</v>
      </c>
    </row>
    <row r="129" spans="1:14">
      <c r="A129" s="47">
        <v>128</v>
      </c>
      <c r="B129" s="47" t="s">
        <v>571</v>
      </c>
      <c r="C129" s="47" t="s">
        <v>563</v>
      </c>
      <c r="D129" s="48" t="s">
        <v>4422</v>
      </c>
      <c r="E129" s="48" t="s">
        <v>4423</v>
      </c>
      <c r="F129" s="47" t="s">
        <v>4424</v>
      </c>
      <c r="G129" s="47" t="s">
        <v>4425</v>
      </c>
      <c r="H129" s="47" t="s">
        <v>4426</v>
      </c>
      <c r="I129" s="47" t="s">
        <v>3987</v>
      </c>
      <c r="J129" s="47" t="s">
        <v>3987</v>
      </c>
      <c r="K129" s="47" t="s">
        <v>4427</v>
      </c>
      <c r="L129" s="47" t="s">
        <v>561</v>
      </c>
      <c r="M129" s="47" t="s">
        <v>3989</v>
      </c>
      <c r="N129" s="33" t="str">
        <f>HYPERLINK("http://services.igi-global.com/resolvedoi/resolve.aspx?doi=10.4018/978-1-61692-004-3")</f>
        <v>http://services.igi-global.com/resolvedoi/resolve.aspx?doi=10.4018/978-1-61692-004-3</v>
      </c>
    </row>
    <row r="130" spans="1:14">
      <c r="A130" s="47">
        <v>129</v>
      </c>
      <c r="B130" s="47" t="s">
        <v>571</v>
      </c>
      <c r="C130" s="47" t="s">
        <v>563</v>
      </c>
      <c r="D130" s="48" t="s">
        <v>504</v>
      </c>
      <c r="E130" s="48" t="s">
        <v>4950</v>
      </c>
      <c r="F130" s="47" t="s">
        <v>4951</v>
      </c>
      <c r="G130" s="47" t="s">
        <v>4952</v>
      </c>
      <c r="H130" s="47" t="s">
        <v>4953</v>
      </c>
      <c r="I130" s="47" t="s">
        <v>3987</v>
      </c>
      <c r="J130" s="47" t="s">
        <v>3987</v>
      </c>
      <c r="K130" s="47" t="s">
        <v>1792</v>
      </c>
      <c r="L130" s="47" t="s">
        <v>561</v>
      </c>
      <c r="M130" s="47" t="s">
        <v>3989</v>
      </c>
      <c r="N130" s="33" t="str">
        <f>HYPERLINK("http://services.igi-global.com/resolvedoi/resolve.aspx?doi=10.4018/978-1-61692-843-8")</f>
        <v>http://services.igi-global.com/resolvedoi/resolve.aspx?doi=10.4018/978-1-61692-843-8</v>
      </c>
    </row>
    <row r="131" spans="1:14">
      <c r="A131" s="47">
        <v>130</v>
      </c>
      <c r="B131" s="47" t="s">
        <v>571</v>
      </c>
      <c r="C131" s="47" t="s">
        <v>563</v>
      </c>
      <c r="D131" s="48" t="s">
        <v>504</v>
      </c>
      <c r="E131" s="48" t="s">
        <v>4428</v>
      </c>
      <c r="F131" s="47" t="s">
        <v>4429</v>
      </c>
      <c r="G131" s="47" t="s">
        <v>4430</v>
      </c>
      <c r="H131" s="47" t="s">
        <v>4431</v>
      </c>
      <c r="I131" s="47" t="s">
        <v>3987</v>
      </c>
      <c r="J131" s="47" t="s">
        <v>3987</v>
      </c>
      <c r="K131" s="47" t="s">
        <v>3534</v>
      </c>
      <c r="L131" s="47" t="s">
        <v>561</v>
      </c>
      <c r="M131" s="47" t="s">
        <v>3989</v>
      </c>
      <c r="N131" s="33" t="str">
        <f>HYPERLINK("http://services.igi-global.com/resolvedoi/resolve.aspx?doi=10.4018/978-1-60960-469-1")</f>
        <v>http://services.igi-global.com/resolvedoi/resolve.aspx?doi=10.4018/978-1-60960-469-1</v>
      </c>
    </row>
    <row r="132" spans="1:14">
      <c r="A132" s="47">
        <v>131</v>
      </c>
      <c r="B132" s="47" t="s">
        <v>571</v>
      </c>
      <c r="C132" s="47" t="s">
        <v>563</v>
      </c>
      <c r="D132" s="48" t="s">
        <v>4432</v>
      </c>
      <c r="E132" s="48" t="s">
        <v>4433</v>
      </c>
      <c r="F132" s="47" t="s">
        <v>4434</v>
      </c>
      <c r="G132" s="47" t="s">
        <v>4435</v>
      </c>
      <c r="H132" s="47" t="s">
        <v>4436</v>
      </c>
      <c r="I132" s="47" t="s">
        <v>3987</v>
      </c>
      <c r="J132" s="47" t="s">
        <v>3987</v>
      </c>
      <c r="K132" s="47" t="s">
        <v>4437</v>
      </c>
      <c r="L132" s="47" t="s">
        <v>561</v>
      </c>
      <c r="M132" s="47" t="s">
        <v>3989</v>
      </c>
      <c r="N132" s="33" t="str">
        <f>HYPERLINK("http://services.igi-global.com/resolvedoi/resolve.aspx?doi=10.4018/978-1-60960-034-1")</f>
        <v>http://services.igi-global.com/resolvedoi/resolve.aspx?doi=10.4018/978-1-60960-034-1</v>
      </c>
    </row>
    <row r="133" spans="1:14">
      <c r="A133" s="47">
        <v>132</v>
      </c>
      <c r="B133" s="47" t="s">
        <v>571</v>
      </c>
      <c r="C133" s="47" t="s">
        <v>563</v>
      </c>
      <c r="D133" s="48" t="s">
        <v>523</v>
      </c>
      <c r="E133" s="48" t="s">
        <v>4438</v>
      </c>
      <c r="F133" s="47" t="s">
        <v>4439</v>
      </c>
      <c r="G133" s="47" t="s">
        <v>4440</v>
      </c>
      <c r="H133" s="47" t="s">
        <v>4441</v>
      </c>
      <c r="I133" s="47" t="s">
        <v>3987</v>
      </c>
      <c r="J133" s="47" t="s">
        <v>3987</v>
      </c>
      <c r="K133" s="47" t="s">
        <v>4442</v>
      </c>
      <c r="L133" s="47" t="s">
        <v>561</v>
      </c>
      <c r="M133" s="47" t="s">
        <v>3989</v>
      </c>
      <c r="N133" s="33" t="str">
        <f>HYPERLINK("http://services.igi-global.com/resolvedoi/resolve.aspx?doi=10.4018/978-1-60960-491-2")</f>
        <v>http://services.igi-global.com/resolvedoi/resolve.aspx?doi=10.4018/978-1-60960-491-2</v>
      </c>
    </row>
    <row r="134" spans="1:14">
      <c r="A134" s="47">
        <v>133</v>
      </c>
      <c r="B134" s="47" t="s">
        <v>571</v>
      </c>
      <c r="C134" s="47" t="s">
        <v>563</v>
      </c>
      <c r="D134" s="48" t="s">
        <v>523</v>
      </c>
      <c r="E134" s="48" t="s">
        <v>4453</v>
      </c>
      <c r="F134" s="47" t="s">
        <v>4454</v>
      </c>
      <c r="G134" s="47" t="s">
        <v>4455</v>
      </c>
      <c r="H134" s="47" t="s">
        <v>4456</v>
      </c>
      <c r="I134" s="47" t="s">
        <v>3987</v>
      </c>
      <c r="J134" s="47" t="s">
        <v>3987</v>
      </c>
      <c r="K134" s="47" t="s">
        <v>4442</v>
      </c>
      <c r="L134" s="47" t="s">
        <v>561</v>
      </c>
      <c r="M134" s="47" t="s">
        <v>3989</v>
      </c>
      <c r="N134" s="33" t="str">
        <f>HYPERLINK("http://services.igi-global.com/resolvedoi/resolve.aspx?doi=10.4018/978-1-60960-064-8")</f>
        <v>http://services.igi-global.com/resolvedoi/resolve.aspx?doi=10.4018/978-1-60960-064-8</v>
      </c>
    </row>
    <row r="135" spans="1:14">
      <c r="A135" s="47">
        <v>134</v>
      </c>
      <c r="B135" s="47" t="s">
        <v>571</v>
      </c>
      <c r="C135" s="47" t="s">
        <v>563</v>
      </c>
      <c r="D135" s="48" t="s">
        <v>4960</v>
      </c>
      <c r="E135" s="48" t="s">
        <v>4961</v>
      </c>
      <c r="F135" s="47" t="s">
        <v>4962</v>
      </c>
      <c r="G135" s="47" t="s">
        <v>4963</v>
      </c>
      <c r="H135" s="47" t="s">
        <v>4964</v>
      </c>
      <c r="I135" s="47" t="s">
        <v>3987</v>
      </c>
      <c r="J135" s="47" t="s">
        <v>3987</v>
      </c>
      <c r="K135" s="47" t="s">
        <v>4965</v>
      </c>
      <c r="L135" s="47" t="s">
        <v>561</v>
      </c>
      <c r="M135" s="47" t="s">
        <v>3989</v>
      </c>
      <c r="N135" s="33" t="str">
        <f>HYPERLINK("http://services.igi-global.com/resolvedoi/resolve.aspx?doi=10.4018/978-1-60960-872-9")</f>
        <v>http://services.igi-global.com/resolvedoi/resolve.aspx?doi=10.4018/978-1-60960-872-9</v>
      </c>
    </row>
    <row r="136" spans="1:14">
      <c r="A136" s="47">
        <v>135</v>
      </c>
      <c r="B136" s="47" t="s">
        <v>571</v>
      </c>
      <c r="C136" s="47" t="s">
        <v>563</v>
      </c>
      <c r="D136" s="48" t="s">
        <v>501</v>
      </c>
      <c r="E136" s="48" t="s">
        <v>4457</v>
      </c>
      <c r="F136" s="47" t="s">
        <v>4458</v>
      </c>
      <c r="G136" s="47" t="s">
        <v>4459</v>
      </c>
      <c r="H136" s="47" t="s">
        <v>4460</v>
      </c>
      <c r="I136" s="47" t="s">
        <v>3987</v>
      </c>
      <c r="J136" s="47" t="s">
        <v>3987</v>
      </c>
      <c r="K136" s="47" t="s">
        <v>4461</v>
      </c>
      <c r="L136" s="47" t="s">
        <v>561</v>
      </c>
      <c r="M136" s="47" t="s">
        <v>3989</v>
      </c>
      <c r="N136" s="33" t="str">
        <f>HYPERLINK("http://services.igi-global.com/resolvedoi/resolve.aspx?doi=10.4018/978-1-60960-018-1")</f>
        <v>http://services.igi-global.com/resolvedoi/resolve.aspx?doi=10.4018/978-1-60960-018-1</v>
      </c>
    </row>
    <row r="137" spans="1:14">
      <c r="A137" s="47">
        <v>136</v>
      </c>
      <c r="B137" s="47" t="s">
        <v>571</v>
      </c>
      <c r="C137" s="47" t="s">
        <v>563</v>
      </c>
      <c r="D137" s="48" t="s">
        <v>4462</v>
      </c>
      <c r="E137" s="48" t="s">
        <v>4463</v>
      </c>
      <c r="F137" s="47" t="s">
        <v>4464</v>
      </c>
      <c r="G137" s="47" t="s">
        <v>4465</v>
      </c>
      <c r="H137" s="47" t="s">
        <v>4466</v>
      </c>
      <c r="I137" s="47" t="s">
        <v>3987</v>
      </c>
      <c r="J137" s="47" t="s">
        <v>3987</v>
      </c>
      <c r="K137" s="47" t="s">
        <v>4467</v>
      </c>
      <c r="L137" s="47" t="s">
        <v>569</v>
      </c>
      <c r="M137" s="47" t="s">
        <v>3989</v>
      </c>
      <c r="N137" s="33" t="str">
        <f>HYPERLINK("http://services.igi-global.com/resolvedoi/resolve.aspx?doi=10.4018/978-1-60960-186-7")</f>
        <v>http://services.igi-global.com/resolvedoi/resolve.aspx?doi=10.4018/978-1-60960-186-7</v>
      </c>
    </row>
    <row r="138" spans="1:14">
      <c r="A138" s="47">
        <v>137</v>
      </c>
      <c r="B138" s="47" t="s">
        <v>571</v>
      </c>
      <c r="C138" s="47" t="s">
        <v>563</v>
      </c>
      <c r="D138" s="48" t="s">
        <v>504</v>
      </c>
      <c r="E138" s="48" t="s">
        <v>4473</v>
      </c>
      <c r="F138" s="47" t="s">
        <v>4474</v>
      </c>
      <c r="G138" s="47" t="s">
        <v>4475</v>
      </c>
      <c r="H138" s="47" t="s">
        <v>4476</v>
      </c>
      <c r="I138" s="47" t="s">
        <v>3987</v>
      </c>
      <c r="J138" s="47" t="s">
        <v>3987</v>
      </c>
      <c r="K138" s="47" t="s">
        <v>488</v>
      </c>
      <c r="L138" s="47" t="s">
        <v>561</v>
      </c>
      <c r="M138" s="47" t="s">
        <v>3989</v>
      </c>
      <c r="N138" s="33" t="str">
        <f>HYPERLINK("http://services.igi-global.com/resolvedoi/resolve.aspx?doi=10.4018/978-1-61520-805-0")</f>
        <v>http://services.igi-global.com/resolvedoi/resolve.aspx?doi=10.4018/978-1-61520-805-0</v>
      </c>
    </row>
    <row r="139" spans="1:14">
      <c r="A139" s="47">
        <v>138</v>
      </c>
      <c r="B139" s="47" t="s">
        <v>571</v>
      </c>
      <c r="C139" s="47" t="s">
        <v>563</v>
      </c>
      <c r="D139" s="48" t="s">
        <v>4944</v>
      </c>
      <c r="E139" s="48" t="s">
        <v>4945</v>
      </c>
      <c r="F139" s="47" t="s">
        <v>4946</v>
      </c>
      <c r="G139" s="47" t="s">
        <v>4947</v>
      </c>
      <c r="H139" s="47" t="s">
        <v>4948</v>
      </c>
      <c r="I139" s="47" t="s">
        <v>3987</v>
      </c>
      <c r="J139" s="47" t="s">
        <v>3987</v>
      </c>
      <c r="K139" s="47" t="s">
        <v>4949</v>
      </c>
      <c r="L139" s="47" t="s">
        <v>561</v>
      </c>
      <c r="M139" s="47" t="s">
        <v>4007</v>
      </c>
      <c r="N139" s="33" t="str">
        <f>HYPERLINK("http://services.igi-global.com/resolvedoi/resolve.aspx?doi=10.4018/978-1-60566-956-4")</f>
        <v>http://services.igi-global.com/resolvedoi/resolve.aspx?doi=10.4018/978-1-60566-956-4</v>
      </c>
    </row>
    <row r="140" spans="1:14">
      <c r="A140" s="47">
        <v>139</v>
      </c>
      <c r="B140" s="47" t="s">
        <v>571</v>
      </c>
      <c r="C140" s="47" t="s">
        <v>563</v>
      </c>
      <c r="D140" s="48" t="s">
        <v>4443</v>
      </c>
      <c r="E140" s="48" t="s">
        <v>4444</v>
      </c>
      <c r="F140" s="47" t="s">
        <v>4445</v>
      </c>
      <c r="G140" s="47" t="s">
        <v>4446</v>
      </c>
      <c r="H140" s="47" t="s">
        <v>4447</v>
      </c>
      <c r="I140" s="47" t="s">
        <v>3987</v>
      </c>
      <c r="J140" s="47" t="s">
        <v>3987</v>
      </c>
      <c r="K140" s="47" t="s">
        <v>4448</v>
      </c>
      <c r="L140" s="47" t="s">
        <v>561</v>
      </c>
      <c r="M140" s="47" t="s">
        <v>4007</v>
      </c>
      <c r="N140" s="33" t="str">
        <f>HYPERLINK("http://services.igi-global.com/resolvedoi/resolve.aspx?doi=10.4018/978-1-61520-817-3")</f>
        <v>http://services.igi-global.com/resolvedoi/resolve.aspx?doi=10.4018/978-1-61520-817-3</v>
      </c>
    </row>
    <row r="141" spans="1:14">
      <c r="A141" s="47">
        <v>140</v>
      </c>
      <c r="B141" s="47" t="s">
        <v>571</v>
      </c>
      <c r="C141" s="47" t="s">
        <v>563</v>
      </c>
      <c r="D141" s="48" t="s">
        <v>4422</v>
      </c>
      <c r="E141" s="48" t="s">
        <v>4449</v>
      </c>
      <c r="F141" s="47" t="s">
        <v>4450</v>
      </c>
      <c r="G141" s="47" t="s">
        <v>4451</v>
      </c>
      <c r="H141" s="47" t="s">
        <v>4452</v>
      </c>
      <c r="I141" s="47" t="s">
        <v>3987</v>
      </c>
      <c r="J141" s="47" t="s">
        <v>3987</v>
      </c>
      <c r="K141" s="47" t="s">
        <v>4427</v>
      </c>
      <c r="L141" s="47" t="s">
        <v>561</v>
      </c>
      <c r="M141" s="47" t="s">
        <v>4007</v>
      </c>
      <c r="N141" s="33" t="str">
        <f>HYPERLINK("http://services.igi-global.com/resolvedoi/resolve.aspx?doi=10.4018/978-1-61520-977-4")</f>
        <v>http://services.igi-global.com/resolvedoi/resolve.aspx?doi=10.4018/978-1-61520-977-4</v>
      </c>
    </row>
    <row r="142" spans="1:14">
      <c r="A142" s="47">
        <v>141</v>
      </c>
      <c r="B142" s="47" t="s">
        <v>571</v>
      </c>
      <c r="C142" s="47" t="s">
        <v>563</v>
      </c>
      <c r="D142" s="48" t="s">
        <v>504</v>
      </c>
      <c r="E142" s="48" t="s">
        <v>4468</v>
      </c>
      <c r="F142" s="47" t="s">
        <v>4469</v>
      </c>
      <c r="G142" s="47" t="s">
        <v>4470</v>
      </c>
      <c r="H142" s="47" t="s">
        <v>4471</v>
      </c>
      <c r="I142" s="47" t="s">
        <v>3987</v>
      </c>
      <c r="J142" s="47" t="s">
        <v>3987</v>
      </c>
      <c r="K142" s="47" t="s">
        <v>4472</v>
      </c>
      <c r="L142" s="47" t="s">
        <v>561</v>
      </c>
      <c r="M142" s="47" t="s">
        <v>4007</v>
      </c>
      <c r="N142" s="33" t="str">
        <f>HYPERLINK("http://services.igi-global.com/resolvedoi/resolve.aspx?doi=10.4018/978-1-61520-777-0")</f>
        <v>http://services.igi-global.com/resolvedoi/resolve.aspx?doi=10.4018/978-1-61520-777-0</v>
      </c>
    </row>
    <row r="143" spans="1:14">
      <c r="A143" s="47">
        <v>142</v>
      </c>
      <c r="B143" s="47" t="s">
        <v>571</v>
      </c>
      <c r="C143" s="47" t="s">
        <v>563</v>
      </c>
      <c r="D143" s="48" t="s">
        <v>4422</v>
      </c>
      <c r="E143" s="48" t="s">
        <v>4954</v>
      </c>
      <c r="F143" s="47" t="s">
        <v>4955</v>
      </c>
      <c r="G143" s="47" t="s">
        <v>4956</v>
      </c>
      <c r="H143" s="47" t="s">
        <v>4957</v>
      </c>
      <c r="I143" s="47" t="s">
        <v>3987</v>
      </c>
      <c r="J143" s="47" t="s">
        <v>3987</v>
      </c>
      <c r="K143" s="47" t="s">
        <v>4958</v>
      </c>
      <c r="L143" s="47" t="s">
        <v>4119</v>
      </c>
      <c r="M143" s="47" t="s">
        <v>4959</v>
      </c>
      <c r="N143" s="33" t="str">
        <f>HYPERLINK("http://services.igi-global.com/resolvedoi/resolve.aspx?doi=10.4018/978-1-59904-042-4")</f>
        <v>http://services.igi-global.com/resolvedoi/resolve.aspx?doi=10.4018/978-1-59904-042-4</v>
      </c>
    </row>
    <row r="144" spans="1:14">
      <c r="A144" s="47">
        <v>143</v>
      </c>
      <c r="B144" s="47" t="s">
        <v>571</v>
      </c>
      <c r="C144" s="47" t="s">
        <v>563</v>
      </c>
      <c r="D144" s="48" t="s">
        <v>4411</v>
      </c>
      <c r="E144" s="48" t="s">
        <v>4412</v>
      </c>
      <c r="F144" s="47" t="s">
        <v>4413</v>
      </c>
      <c r="G144" s="47" t="s">
        <v>4414</v>
      </c>
      <c r="H144" s="47" t="s">
        <v>4415</v>
      </c>
      <c r="I144" s="47" t="s">
        <v>3987</v>
      </c>
      <c r="J144" s="47" t="s">
        <v>3987</v>
      </c>
      <c r="K144" s="47" t="s">
        <v>4416</v>
      </c>
      <c r="L144" s="47" t="s">
        <v>4119</v>
      </c>
      <c r="M144" s="47" t="s">
        <v>4120</v>
      </c>
      <c r="N144" s="33" t="str">
        <f>HYPERLINK("http://services.igi-global.com/resolvedoi/resolve.aspx?doi=10.4018/978-1-59140-863-5")</f>
        <v>http://services.igi-global.com/resolvedoi/resolve.aspx?doi=10.4018/978-1-59140-863-5</v>
      </c>
    </row>
    <row r="145" spans="1:14">
      <c r="A145" s="47">
        <v>144</v>
      </c>
      <c r="B145" s="47" t="s">
        <v>571</v>
      </c>
      <c r="C145" s="47" t="s">
        <v>4477</v>
      </c>
      <c r="D145" s="48" t="s">
        <v>4478</v>
      </c>
      <c r="E145" s="48" t="s">
        <v>4479</v>
      </c>
      <c r="F145" s="47" t="s">
        <v>4480</v>
      </c>
      <c r="G145" s="47" t="s">
        <v>4481</v>
      </c>
      <c r="H145" s="47" t="s">
        <v>4482</v>
      </c>
      <c r="I145" s="47" t="s">
        <v>3987</v>
      </c>
      <c r="J145" s="47" t="s">
        <v>3987</v>
      </c>
      <c r="K145" s="47" t="s">
        <v>2249</v>
      </c>
      <c r="L145" s="47" t="s">
        <v>569</v>
      </c>
      <c r="M145" s="47" t="s">
        <v>3989</v>
      </c>
      <c r="N145" s="33" t="str">
        <f>HYPERLINK("http://services.igi-global.com/resolvedoi/resolve.aspx?doi=10.4018/978-1-60960-732-6")</f>
        <v>http://services.igi-global.com/resolvedoi/resolve.aspx?doi=10.4018/978-1-60960-732-6</v>
      </c>
    </row>
    <row r="146" spans="1:14">
      <c r="A146" s="47">
        <v>145</v>
      </c>
      <c r="B146" s="47" t="s">
        <v>571</v>
      </c>
      <c r="C146" s="47" t="s">
        <v>4477</v>
      </c>
      <c r="D146" s="48" t="s">
        <v>4488</v>
      </c>
      <c r="E146" s="48" t="s">
        <v>4489</v>
      </c>
      <c r="F146" s="47" t="s">
        <v>4490</v>
      </c>
      <c r="G146" s="47" t="s">
        <v>4491</v>
      </c>
      <c r="H146" s="47" t="s">
        <v>4492</v>
      </c>
      <c r="I146" s="47" t="s">
        <v>3987</v>
      </c>
      <c r="J146" s="47" t="s">
        <v>3987</v>
      </c>
      <c r="K146" s="47" t="s">
        <v>4493</v>
      </c>
      <c r="L146" s="47" t="s">
        <v>569</v>
      </c>
      <c r="M146" s="47" t="s">
        <v>3989</v>
      </c>
      <c r="N146" s="33" t="str">
        <f>HYPERLINK("http://services.igi-global.com/resolvedoi/resolve.aspx?doi=10.4018/978-1-60960-477-6")</f>
        <v>http://services.igi-global.com/resolvedoi/resolve.aspx?doi=10.4018/978-1-60960-477-6</v>
      </c>
    </row>
    <row r="147" spans="1:14">
      <c r="A147" s="47">
        <v>146</v>
      </c>
      <c r="B147" s="47" t="s">
        <v>571</v>
      </c>
      <c r="C147" s="47" t="s">
        <v>4477</v>
      </c>
      <c r="D147" s="48" t="s">
        <v>4494</v>
      </c>
      <c r="E147" s="48" t="s">
        <v>4495</v>
      </c>
      <c r="F147" s="47" t="s">
        <v>4496</v>
      </c>
      <c r="G147" s="47" t="s">
        <v>4497</v>
      </c>
      <c r="H147" s="47" t="s">
        <v>4498</v>
      </c>
      <c r="I147" s="47" t="s">
        <v>3987</v>
      </c>
      <c r="J147" s="47" t="s">
        <v>3987</v>
      </c>
      <c r="K147" s="47" t="s">
        <v>579</v>
      </c>
      <c r="L147" s="47" t="s">
        <v>569</v>
      </c>
      <c r="M147" s="47" t="s">
        <v>3989</v>
      </c>
      <c r="N147" s="33" t="str">
        <f>HYPERLINK("http://services.igi-global.com/resolvedoi/resolve.aspx?doi=10.4018/978-1-60960-567-4")</f>
        <v>http://services.igi-global.com/resolvedoi/resolve.aspx?doi=10.4018/978-1-60960-567-4</v>
      </c>
    </row>
    <row r="148" spans="1:14">
      <c r="A148" s="47">
        <v>147</v>
      </c>
      <c r="B148" s="47" t="s">
        <v>571</v>
      </c>
      <c r="C148" s="47" t="s">
        <v>4477</v>
      </c>
      <c r="D148" s="48" t="s">
        <v>524</v>
      </c>
      <c r="E148" s="48" t="s">
        <v>4499</v>
      </c>
      <c r="F148" s="47" t="s">
        <v>4500</v>
      </c>
      <c r="G148" s="47" t="s">
        <v>4501</v>
      </c>
      <c r="H148" s="47" t="s">
        <v>4502</v>
      </c>
      <c r="I148" s="47" t="s">
        <v>3987</v>
      </c>
      <c r="J148" s="47" t="s">
        <v>3987</v>
      </c>
      <c r="K148" s="47" t="s">
        <v>579</v>
      </c>
      <c r="L148" s="47" t="s">
        <v>569</v>
      </c>
      <c r="M148" s="47" t="s">
        <v>3989</v>
      </c>
      <c r="N148" s="33" t="str">
        <f>HYPERLINK("http://services.igi-global.com/resolvedoi/resolve.aspx?doi=10.4018/978-1-60960-569-8")</f>
        <v>http://services.igi-global.com/resolvedoi/resolve.aspx?doi=10.4018/978-1-60960-569-8</v>
      </c>
    </row>
    <row r="149" spans="1:14">
      <c r="A149" s="47">
        <v>148</v>
      </c>
      <c r="B149" s="47" t="s">
        <v>571</v>
      </c>
      <c r="C149" s="47" t="s">
        <v>4477</v>
      </c>
      <c r="D149" s="48" t="s">
        <v>4514</v>
      </c>
      <c r="E149" s="48" t="s">
        <v>4515</v>
      </c>
      <c r="F149" s="47" t="s">
        <v>4516</v>
      </c>
      <c r="G149" s="47" t="s">
        <v>4517</v>
      </c>
      <c r="H149" s="47" t="s">
        <v>4518</v>
      </c>
      <c r="I149" s="47" t="s">
        <v>3987</v>
      </c>
      <c r="J149" s="47" t="s">
        <v>3987</v>
      </c>
      <c r="K149" s="47" t="s">
        <v>536</v>
      </c>
      <c r="L149" s="47" t="s">
        <v>569</v>
      </c>
      <c r="M149" s="47" t="s">
        <v>3989</v>
      </c>
      <c r="N149" s="33" t="str">
        <f>HYPERLINK("http://services.igi-global.com/resolvedoi/resolve.aspx?doi=10.4018/978-1-60960-027-3")</f>
        <v>http://services.igi-global.com/resolvedoi/resolve.aspx?doi=10.4018/978-1-60960-027-3</v>
      </c>
    </row>
    <row r="150" spans="1:14">
      <c r="A150" s="47">
        <v>149</v>
      </c>
      <c r="B150" s="47" t="s">
        <v>571</v>
      </c>
      <c r="C150" s="47" t="s">
        <v>4477</v>
      </c>
      <c r="D150" s="48" t="s">
        <v>505</v>
      </c>
      <c r="E150" s="48" t="s">
        <v>4972</v>
      </c>
      <c r="F150" s="47" t="s">
        <v>4973</v>
      </c>
      <c r="G150" s="47" t="s">
        <v>4974</v>
      </c>
      <c r="H150" s="47" t="s">
        <v>4975</v>
      </c>
      <c r="I150" s="47" t="s">
        <v>3987</v>
      </c>
      <c r="J150" s="47" t="s">
        <v>3987</v>
      </c>
      <c r="K150" s="47" t="s">
        <v>4976</v>
      </c>
      <c r="L150" s="47" t="s">
        <v>569</v>
      </c>
      <c r="M150" s="47" t="s">
        <v>3989</v>
      </c>
      <c r="N150" s="33" t="str">
        <f>HYPERLINK("http://services.igi-global.com/resolvedoi/resolve.aspx?doi=10.4018/978-1-61692-828-5")</f>
        <v>http://services.igi-global.com/resolvedoi/resolve.aspx?doi=10.4018/978-1-61692-828-5</v>
      </c>
    </row>
    <row r="151" spans="1:14">
      <c r="A151" s="47">
        <v>150</v>
      </c>
      <c r="B151" s="47" t="s">
        <v>571</v>
      </c>
      <c r="C151" s="47" t="s">
        <v>4477</v>
      </c>
      <c r="D151" s="48" t="s">
        <v>4982</v>
      </c>
      <c r="E151" s="48" t="s">
        <v>4983</v>
      </c>
      <c r="F151" s="47" t="s">
        <v>4984</v>
      </c>
      <c r="G151" s="47" t="s">
        <v>4985</v>
      </c>
      <c r="H151" s="47" t="s">
        <v>4986</v>
      </c>
      <c r="I151" s="47" t="s">
        <v>3987</v>
      </c>
      <c r="J151" s="47" t="s">
        <v>3987</v>
      </c>
      <c r="K151" s="47" t="s">
        <v>4987</v>
      </c>
      <c r="L151" s="47" t="s">
        <v>569</v>
      </c>
      <c r="M151" s="47" t="s">
        <v>3989</v>
      </c>
      <c r="N151" s="33" t="str">
        <f>HYPERLINK("http://services.igi-global.com/resolvedoi/resolve.aspx?doi=10.4018/978-1-60960-192-8")</f>
        <v>http://services.igi-global.com/resolvedoi/resolve.aspx?doi=10.4018/978-1-60960-192-8</v>
      </c>
    </row>
    <row r="152" spans="1:14">
      <c r="A152" s="47">
        <v>151</v>
      </c>
      <c r="B152" s="47" t="s">
        <v>571</v>
      </c>
      <c r="C152" s="47" t="s">
        <v>4477</v>
      </c>
      <c r="D152" s="48" t="s">
        <v>526</v>
      </c>
      <c r="E152" s="48" t="s">
        <v>4524</v>
      </c>
      <c r="F152" s="47" t="s">
        <v>4525</v>
      </c>
      <c r="G152" s="47" t="s">
        <v>4526</v>
      </c>
      <c r="H152" s="47" t="s">
        <v>4527</v>
      </c>
      <c r="I152" s="47" t="s">
        <v>3987</v>
      </c>
      <c r="J152" s="47" t="s">
        <v>3987</v>
      </c>
      <c r="K152" s="47" t="s">
        <v>4528</v>
      </c>
      <c r="L152" s="47" t="s">
        <v>569</v>
      </c>
      <c r="M152" s="47" t="s">
        <v>3989</v>
      </c>
      <c r="N152" s="33" t="str">
        <f>HYPERLINK("http://services.igi-global.com/resolvedoi/resolve.aspx?doi=10.4018/978-1-60566-792-8")</f>
        <v>http://services.igi-global.com/resolvedoi/resolve.aspx?doi=10.4018/978-1-60566-792-8</v>
      </c>
    </row>
    <row r="153" spans="1:14">
      <c r="A153" s="47">
        <v>152</v>
      </c>
      <c r="B153" s="47" t="s">
        <v>571</v>
      </c>
      <c r="C153" s="47" t="s">
        <v>4477</v>
      </c>
      <c r="D153" s="48" t="s">
        <v>4529</v>
      </c>
      <c r="E153" s="48" t="s">
        <v>4530</v>
      </c>
      <c r="F153" s="47" t="s">
        <v>4531</v>
      </c>
      <c r="G153" s="47" t="s">
        <v>4532</v>
      </c>
      <c r="H153" s="47" t="s">
        <v>4533</v>
      </c>
      <c r="I153" s="47" t="s">
        <v>3987</v>
      </c>
      <c r="J153" s="47" t="s">
        <v>3987</v>
      </c>
      <c r="K153" s="47" t="s">
        <v>537</v>
      </c>
      <c r="L153" s="47" t="s">
        <v>569</v>
      </c>
      <c r="M153" s="47" t="s">
        <v>3989</v>
      </c>
      <c r="N153" s="33" t="str">
        <f>HYPERLINK("http://services.igi-global.com/resolvedoi/resolve.aspx?doi=10.4018/978-1-60960-563-6")</f>
        <v>http://services.igi-global.com/resolvedoi/resolve.aspx?doi=10.4018/978-1-60960-563-6</v>
      </c>
    </row>
    <row r="154" spans="1:14">
      <c r="A154" s="47">
        <v>153</v>
      </c>
      <c r="B154" s="47" t="s">
        <v>571</v>
      </c>
      <c r="C154" s="47" t="s">
        <v>4477</v>
      </c>
      <c r="D154" s="48" t="s">
        <v>507</v>
      </c>
      <c r="E154" s="48" t="s">
        <v>5004</v>
      </c>
      <c r="F154" s="47" t="s">
        <v>5005</v>
      </c>
      <c r="G154" s="47" t="s">
        <v>5006</v>
      </c>
      <c r="H154" s="47" t="s">
        <v>5007</v>
      </c>
      <c r="I154" s="47" t="s">
        <v>3987</v>
      </c>
      <c r="J154" s="47" t="s">
        <v>3987</v>
      </c>
      <c r="K154" s="47" t="s">
        <v>5008</v>
      </c>
      <c r="L154" s="47" t="s">
        <v>569</v>
      </c>
      <c r="M154" s="47" t="s">
        <v>3989</v>
      </c>
      <c r="N154" s="33" t="str">
        <f>HYPERLINK("http://services.igi-global.com/resolvedoi/resolve.aspx?doi=10.4018/978-1-60960-774-6")</f>
        <v>http://services.igi-global.com/resolvedoi/resolve.aspx?doi=10.4018/978-1-60960-774-6</v>
      </c>
    </row>
    <row r="155" spans="1:14">
      <c r="A155" s="47">
        <v>154</v>
      </c>
      <c r="B155" s="47" t="s">
        <v>571</v>
      </c>
      <c r="C155" s="47" t="s">
        <v>4477</v>
      </c>
      <c r="D155" s="48" t="s">
        <v>565</v>
      </c>
      <c r="E155" s="48" t="s">
        <v>5009</v>
      </c>
      <c r="F155" s="47" t="s">
        <v>5010</v>
      </c>
      <c r="G155" s="47" t="s">
        <v>5011</v>
      </c>
      <c r="H155" s="47" t="s">
        <v>5012</v>
      </c>
      <c r="I155" s="47" t="s">
        <v>3987</v>
      </c>
      <c r="J155" s="47" t="s">
        <v>3987</v>
      </c>
      <c r="K155" s="47" t="s">
        <v>5013</v>
      </c>
      <c r="L155" s="47" t="s">
        <v>569</v>
      </c>
      <c r="M155" s="47" t="s">
        <v>3989</v>
      </c>
      <c r="N155" s="33" t="str">
        <f>HYPERLINK("http://services.igi-global.com/resolvedoi/resolve.aspx?doi=10.4018/978-1-60960-821-7")</f>
        <v>http://services.igi-global.com/resolvedoi/resolve.aspx?doi=10.4018/978-1-60960-821-7</v>
      </c>
    </row>
    <row r="156" spans="1:14">
      <c r="A156" s="47">
        <v>155</v>
      </c>
      <c r="B156" s="47" t="s">
        <v>571</v>
      </c>
      <c r="C156" s="47" t="s">
        <v>4477</v>
      </c>
      <c r="D156" s="48" t="s">
        <v>565</v>
      </c>
      <c r="E156" s="48" t="s">
        <v>4534</v>
      </c>
      <c r="F156" s="47" t="s">
        <v>4535</v>
      </c>
      <c r="G156" s="47" t="s">
        <v>4536</v>
      </c>
      <c r="H156" s="47" t="s">
        <v>4537</v>
      </c>
      <c r="I156" s="47" t="s">
        <v>3987</v>
      </c>
      <c r="J156" s="47" t="s">
        <v>3987</v>
      </c>
      <c r="K156" s="47" t="s">
        <v>4538</v>
      </c>
      <c r="L156" s="47" t="s">
        <v>569</v>
      </c>
      <c r="M156" s="47" t="s">
        <v>3989</v>
      </c>
      <c r="N156" s="33" t="str">
        <f>HYPERLINK("http://services.igi-global.com/resolvedoi/resolve.aspx?doi=10.4018/978-1-60960-571-1")</f>
        <v>http://services.igi-global.com/resolvedoi/resolve.aspx?doi=10.4018/978-1-60960-571-1</v>
      </c>
    </row>
    <row r="157" spans="1:14">
      <c r="A157" s="47">
        <v>156</v>
      </c>
      <c r="B157" s="47" t="s">
        <v>571</v>
      </c>
      <c r="C157" s="47" t="s">
        <v>4477</v>
      </c>
      <c r="D157" s="48" t="s">
        <v>2042</v>
      </c>
      <c r="E157" s="48" t="s">
        <v>4539</v>
      </c>
      <c r="F157" s="47" t="s">
        <v>4540</v>
      </c>
      <c r="G157" s="47" t="s">
        <v>4541</v>
      </c>
      <c r="H157" s="47" t="s">
        <v>4542</v>
      </c>
      <c r="I157" s="47" t="s">
        <v>3987</v>
      </c>
      <c r="J157" s="47" t="s">
        <v>3987</v>
      </c>
      <c r="K157" s="47" t="s">
        <v>4543</v>
      </c>
      <c r="L157" s="47" t="s">
        <v>569</v>
      </c>
      <c r="M157" s="47" t="s">
        <v>3989</v>
      </c>
      <c r="N157" s="33" t="str">
        <f>HYPERLINK("http://services.igi-global.com/resolvedoi/resolve.aspx?doi=10.4018/978-1-60566-250-3")</f>
        <v>http://services.igi-global.com/resolvedoi/resolve.aspx?doi=10.4018/978-1-60566-250-3</v>
      </c>
    </row>
    <row r="158" spans="1:14">
      <c r="A158" s="47">
        <v>157</v>
      </c>
      <c r="B158" s="47" t="s">
        <v>571</v>
      </c>
      <c r="C158" s="47" t="s">
        <v>4477</v>
      </c>
      <c r="D158" s="48" t="s">
        <v>526</v>
      </c>
      <c r="E158" s="48" t="s">
        <v>4544</v>
      </c>
      <c r="F158" s="47" t="s">
        <v>4545</v>
      </c>
      <c r="G158" s="47" t="s">
        <v>4546</v>
      </c>
      <c r="H158" s="47" t="s">
        <v>4547</v>
      </c>
      <c r="I158" s="47" t="s">
        <v>3987</v>
      </c>
      <c r="J158" s="47" t="s">
        <v>3987</v>
      </c>
      <c r="K158" s="47" t="s">
        <v>4548</v>
      </c>
      <c r="L158" s="47" t="s">
        <v>569</v>
      </c>
      <c r="M158" s="47" t="s">
        <v>3989</v>
      </c>
      <c r="N158" s="33" t="str">
        <f>HYPERLINK("http://services.igi-global.com/resolvedoi/resolve.aspx?doi=10.4018/978-1-60960-189-8")</f>
        <v>http://services.igi-global.com/resolvedoi/resolve.aspx?doi=10.4018/978-1-60960-189-8</v>
      </c>
    </row>
    <row r="159" spans="1:14">
      <c r="A159" s="47">
        <v>158</v>
      </c>
      <c r="B159" s="47" t="s">
        <v>571</v>
      </c>
      <c r="C159" s="47" t="s">
        <v>4477</v>
      </c>
      <c r="D159" s="48" t="s">
        <v>493</v>
      </c>
      <c r="E159" s="48" t="s">
        <v>4554</v>
      </c>
      <c r="F159" s="47" t="s">
        <v>4555</v>
      </c>
      <c r="G159" s="47" t="s">
        <v>4556</v>
      </c>
      <c r="H159" s="47" t="s">
        <v>4557</v>
      </c>
      <c r="I159" s="47" t="s">
        <v>3987</v>
      </c>
      <c r="J159" s="47" t="s">
        <v>3987</v>
      </c>
      <c r="K159" s="47" t="s">
        <v>4558</v>
      </c>
      <c r="L159" s="47" t="s">
        <v>569</v>
      </c>
      <c r="M159" s="47" t="s">
        <v>3989</v>
      </c>
      <c r="N159" s="33" t="str">
        <f>HYPERLINK("http://services.igi-global.com/resolvedoi/resolve.aspx?doi=10.4018/978-1-60960-794-4")</f>
        <v>http://services.igi-global.com/resolvedoi/resolve.aspx?doi=10.4018/978-1-60960-794-4</v>
      </c>
    </row>
    <row r="160" spans="1:14">
      <c r="A160" s="47">
        <v>159</v>
      </c>
      <c r="B160" s="47" t="s">
        <v>571</v>
      </c>
      <c r="C160" s="47" t="s">
        <v>4477</v>
      </c>
      <c r="D160" s="48" t="s">
        <v>4488</v>
      </c>
      <c r="E160" s="48" t="s">
        <v>4559</v>
      </c>
      <c r="F160" s="47" t="s">
        <v>4560</v>
      </c>
      <c r="G160" s="47" t="s">
        <v>4561</v>
      </c>
      <c r="H160" s="47" t="s">
        <v>4562</v>
      </c>
      <c r="I160" s="47" t="s">
        <v>3987</v>
      </c>
      <c r="J160" s="47" t="s">
        <v>3987</v>
      </c>
      <c r="K160" s="47" t="s">
        <v>4563</v>
      </c>
      <c r="L160" s="47" t="s">
        <v>569</v>
      </c>
      <c r="M160" s="47" t="s">
        <v>3989</v>
      </c>
      <c r="N160" s="33" t="str">
        <f>HYPERLINK("http://services.igi-global.com/resolvedoi/resolve.aspx?doi=10.4018/978-1-61520-925-5")</f>
        <v>http://services.igi-global.com/resolvedoi/resolve.aspx?doi=10.4018/978-1-61520-925-5</v>
      </c>
    </row>
    <row r="161" spans="1:14">
      <c r="A161" s="47">
        <v>160</v>
      </c>
      <c r="B161" s="47" t="s">
        <v>571</v>
      </c>
      <c r="C161" s="47" t="s">
        <v>4477</v>
      </c>
      <c r="D161" s="48" t="s">
        <v>565</v>
      </c>
      <c r="E161" s="48" t="s">
        <v>4564</v>
      </c>
      <c r="F161" s="47" t="s">
        <v>4565</v>
      </c>
      <c r="G161" s="47" t="s">
        <v>4566</v>
      </c>
      <c r="H161" s="47" t="s">
        <v>4567</v>
      </c>
      <c r="I161" s="47" t="s">
        <v>3987</v>
      </c>
      <c r="J161" s="47" t="s">
        <v>3987</v>
      </c>
      <c r="K161" s="47" t="s">
        <v>4568</v>
      </c>
      <c r="L161" s="47" t="s">
        <v>569</v>
      </c>
      <c r="M161" s="47" t="s">
        <v>3989</v>
      </c>
      <c r="N161" s="33" t="str">
        <f>HYPERLINK("http://services.igi-global.com/resolvedoi/resolve.aspx?doi=10.4018/978-1-61692-831-5")</f>
        <v>http://services.igi-global.com/resolvedoi/resolve.aspx?doi=10.4018/978-1-61692-831-5</v>
      </c>
    </row>
    <row r="162" spans="1:14">
      <c r="A162" s="47">
        <v>161</v>
      </c>
      <c r="B162" s="47" t="s">
        <v>571</v>
      </c>
      <c r="C162" s="47" t="s">
        <v>4477</v>
      </c>
      <c r="D162" s="48" t="s">
        <v>4569</v>
      </c>
      <c r="E162" s="48" t="s">
        <v>4570</v>
      </c>
      <c r="F162" s="47" t="s">
        <v>4571</v>
      </c>
      <c r="G162" s="47" t="s">
        <v>4572</v>
      </c>
      <c r="H162" s="47" t="s">
        <v>4573</v>
      </c>
      <c r="I162" s="47" t="s">
        <v>3987</v>
      </c>
      <c r="J162" s="47" t="s">
        <v>3987</v>
      </c>
      <c r="K162" s="47" t="s">
        <v>1227</v>
      </c>
      <c r="L162" s="47" t="s">
        <v>569</v>
      </c>
      <c r="M162" s="47" t="s">
        <v>3989</v>
      </c>
      <c r="N162" s="33" t="str">
        <f>HYPERLINK("http://services.igi-global.com/resolvedoi/resolve.aspx?doi=10.4018/978-1-60960-523-0")</f>
        <v>http://services.igi-global.com/resolvedoi/resolve.aspx?doi=10.4018/978-1-60960-523-0</v>
      </c>
    </row>
    <row r="163" spans="1:14">
      <c r="A163" s="47">
        <v>162</v>
      </c>
      <c r="B163" s="47" t="s">
        <v>571</v>
      </c>
      <c r="C163" s="47" t="s">
        <v>4477</v>
      </c>
      <c r="D163" s="48" t="s">
        <v>533</v>
      </c>
      <c r="E163" s="48" t="s">
        <v>4483</v>
      </c>
      <c r="F163" s="47" t="s">
        <v>4484</v>
      </c>
      <c r="G163" s="47" t="s">
        <v>4485</v>
      </c>
      <c r="H163" s="47" t="s">
        <v>4486</v>
      </c>
      <c r="I163" s="47" t="s">
        <v>3987</v>
      </c>
      <c r="J163" s="47" t="s">
        <v>3987</v>
      </c>
      <c r="K163" s="47" t="s">
        <v>4487</v>
      </c>
      <c r="L163" s="47" t="s">
        <v>569</v>
      </c>
      <c r="M163" s="47" t="s">
        <v>4007</v>
      </c>
      <c r="N163" s="33" t="str">
        <f>HYPERLINK("http://services.igi-global.com/resolvedoi/resolve.aspx?doi=10.4018/978-1-61520-903-3")</f>
        <v>http://services.igi-global.com/resolvedoi/resolve.aspx?doi=10.4018/978-1-61520-903-3</v>
      </c>
    </row>
    <row r="164" spans="1:14">
      <c r="A164" s="47">
        <v>163</v>
      </c>
      <c r="B164" s="47" t="s">
        <v>571</v>
      </c>
      <c r="C164" s="47" t="s">
        <v>4477</v>
      </c>
      <c r="D164" s="48" t="s">
        <v>4508</v>
      </c>
      <c r="E164" s="48" t="s">
        <v>4509</v>
      </c>
      <c r="F164" s="47" t="s">
        <v>4510</v>
      </c>
      <c r="G164" s="47" t="s">
        <v>4511</v>
      </c>
      <c r="H164" s="47" t="s">
        <v>4512</v>
      </c>
      <c r="I164" s="47" t="s">
        <v>3987</v>
      </c>
      <c r="J164" s="47" t="s">
        <v>3987</v>
      </c>
      <c r="K164" s="47" t="s">
        <v>4513</v>
      </c>
      <c r="L164" s="47" t="s">
        <v>569</v>
      </c>
      <c r="M164" s="47" t="s">
        <v>4007</v>
      </c>
      <c r="N164" s="33" t="str">
        <f>HYPERLINK("http://services.igi-global.com/resolvedoi/resolve.aspx?doi=10.4018/978-1-61520-973-6")</f>
        <v>http://services.igi-global.com/resolvedoi/resolve.aspx?doi=10.4018/978-1-61520-973-6</v>
      </c>
    </row>
    <row r="165" spans="1:14">
      <c r="A165" s="47">
        <v>164</v>
      </c>
      <c r="B165" s="47" t="s">
        <v>571</v>
      </c>
      <c r="C165" s="47" t="s">
        <v>4477</v>
      </c>
      <c r="D165" s="48" t="s">
        <v>2228</v>
      </c>
      <c r="E165" s="48" t="s">
        <v>4977</v>
      </c>
      <c r="F165" s="47" t="s">
        <v>4978</v>
      </c>
      <c r="G165" s="47" t="s">
        <v>4979</v>
      </c>
      <c r="H165" s="47" t="s">
        <v>4980</v>
      </c>
      <c r="I165" s="47" t="s">
        <v>3987</v>
      </c>
      <c r="J165" s="47" t="s">
        <v>3987</v>
      </c>
      <c r="K165" s="47" t="s">
        <v>4981</v>
      </c>
      <c r="L165" s="47" t="s">
        <v>569</v>
      </c>
      <c r="M165" s="47" t="s">
        <v>4007</v>
      </c>
      <c r="N165" s="33" t="str">
        <f>HYPERLINK("http://services.igi-global.com/resolvedoi/resolve.aspx?doi=10.4018/978-1-61520-717-6")</f>
        <v>http://services.igi-global.com/resolvedoi/resolve.aspx?doi=10.4018/978-1-61520-717-6</v>
      </c>
    </row>
    <row r="166" spans="1:14">
      <c r="A166" s="47">
        <v>165</v>
      </c>
      <c r="B166" s="47" t="s">
        <v>571</v>
      </c>
      <c r="C166" s="47" t="s">
        <v>4477</v>
      </c>
      <c r="D166" s="48" t="s">
        <v>532</v>
      </c>
      <c r="E166" s="48" t="s">
        <v>4519</v>
      </c>
      <c r="F166" s="47" t="s">
        <v>4520</v>
      </c>
      <c r="G166" s="47" t="s">
        <v>4521</v>
      </c>
      <c r="H166" s="47" t="s">
        <v>4522</v>
      </c>
      <c r="I166" s="47" t="s">
        <v>3987</v>
      </c>
      <c r="J166" s="47" t="s">
        <v>3987</v>
      </c>
      <c r="K166" s="47" t="s">
        <v>4523</v>
      </c>
      <c r="L166" s="47" t="s">
        <v>569</v>
      </c>
      <c r="M166" s="47" t="s">
        <v>4007</v>
      </c>
      <c r="N166" s="33" t="str">
        <f>HYPERLINK("http://services.igi-global.com/resolvedoi/resolve.aspx?doi=10.4018/978-1-61520-701-5")</f>
        <v>http://services.igi-global.com/resolvedoi/resolve.aspx?doi=10.4018/978-1-61520-701-5</v>
      </c>
    </row>
    <row r="167" spans="1:14">
      <c r="A167" s="47">
        <v>166</v>
      </c>
      <c r="B167" s="47" t="s">
        <v>571</v>
      </c>
      <c r="C167" s="47" t="s">
        <v>4477</v>
      </c>
      <c r="D167" s="48" t="s">
        <v>4988</v>
      </c>
      <c r="E167" s="48" t="s">
        <v>4989</v>
      </c>
      <c r="F167" s="47" t="s">
        <v>4990</v>
      </c>
      <c r="G167" s="47" t="s">
        <v>4991</v>
      </c>
      <c r="H167" s="47" t="s">
        <v>4992</v>
      </c>
      <c r="I167" s="47" t="s">
        <v>4245</v>
      </c>
      <c r="J167" s="47" t="s">
        <v>3987</v>
      </c>
      <c r="K167" s="47" t="s">
        <v>4993</v>
      </c>
      <c r="L167" s="47" t="s">
        <v>569</v>
      </c>
      <c r="M167" s="47" t="s">
        <v>4007</v>
      </c>
      <c r="N167" s="33" t="str">
        <f>HYPERLINK("http://services.igi-global.com/resolvedoi/resolve.aspx?doi=10.4018/978-1-60566-384-5")</f>
        <v>http://services.igi-global.com/resolvedoi/resolve.aspx?doi=10.4018/978-1-60566-384-5</v>
      </c>
    </row>
    <row r="168" spans="1:14">
      <c r="A168" s="47">
        <v>167</v>
      </c>
      <c r="B168" s="47" t="s">
        <v>571</v>
      </c>
      <c r="C168" s="47" t="s">
        <v>4477</v>
      </c>
      <c r="D168" s="48" t="s">
        <v>4999</v>
      </c>
      <c r="E168" s="48" t="s">
        <v>5000</v>
      </c>
      <c r="F168" s="47" t="s">
        <v>5001</v>
      </c>
      <c r="G168" s="47" t="s">
        <v>5002</v>
      </c>
      <c r="H168" s="47" t="s">
        <v>5003</v>
      </c>
      <c r="I168" s="47" t="s">
        <v>3987</v>
      </c>
      <c r="J168" s="47" t="s">
        <v>3987</v>
      </c>
      <c r="K168" s="47" t="s">
        <v>577</v>
      </c>
      <c r="L168" s="47" t="s">
        <v>569</v>
      </c>
      <c r="M168" s="47" t="s">
        <v>4007</v>
      </c>
      <c r="N168" s="33" t="str">
        <f>HYPERLINK("http://services.igi-global.com/resolvedoi/resolve.aspx?doi=10.4018/978-1-61520-715-2")</f>
        <v>http://services.igi-global.com/resolvedoi/resolve.aspx?doi=10.4018/978-1-61520-715-2</v>
      </c>
    </row>
    <row r="169" spans="1:14">
      <c r="A169" s="47">
        <v>168</v>
      </c>
      <c r="B169" s="47" t="s">
        <v>571</v>
      </c>
      <c r="C169" s="47" t="s">
        <v>4477</v>
      </c>
      <c r="D169" s="48" t="s">
        <v>527</v>
      </c>
      <c r="E169" s="48" t="s">
        <v>4549</v>
      </c>
      <c r="F169" s="47" t="s">
        <v>4550</v>
      </c>
      <c r="G169" s="47" t="s">
        <v>4551</v>
      </c>
      <c r="H169" s="47" t="s">
        <v>4552</v>
      </c>
      <c r="I169" s="47" t="s">
        <v>3987</v>
      </c>
      <c r="J169" s="47" t="s">
        <v>3987</v>
      </c>
      <c r="K169" s="47" t="s">
        <v>4553</v>
      </c>
      <c r="L169" s="47" t="s">
        <v>569</v>
      </c>
      <c r="M169" s="47" t="s">
        <v>4007</v>
      </c>
      <c r="N169" s="33" t="str">
        <f>HYPERLINK("http://services.igi-global.com/resolvedoi/resolve.aspx?doi=10.4018/978-1-60566-707-2")</f>
        <v>http://services.igi-global.com/resolvedoi/resolve.aspx?doi=10.4018/978-1-60566-707-2</v>
      </c>
    </row>
    <row r="170" spans="1:14">
      <c r="A170" s="47">
        <v>169</v>
      </c>
      <c r="B170" s="47" t="s">
        <v>571</v>
      </c>
      <c r="C170" s="47" t="s">
        <v>4477</v>
      </c>
      <c r="D170" s="48" t="s">
        <v>531</v>
      </c>
      <c r="E170" s="48" t="s">
        <v>5014</v>
      </c>
      <c r="F170" s="47" t="s">
        <v>5015</v>
      </c>
      <c r="G170" s="47" t="s">
        <v>5016</v>
      </c>
      <c r="H170" s="47" t="s">
        <v>5017</v>
      </c>
      <c r="I170" s="47" t="s">
        <v>3987</v>
      </c>
      <c r="J170" s="47" t="s">
        <v>3987</v>
      </c>
      <c r="K170" s="47" t="s">
        <v>5018</v>
      </c>
      <c r="L170" s="47" t="s">
        <v>569</v>
      </c>
      <c r="M170" s="47" t="s">
        <v>4007</v>
      </c>
      <c r="N170" s="33" t="str">
        <f>HYPERLINK("http://services.igi-global.com/resolvedoi/resolve.aspx?doi=10.4018/978-1-61520-739-8")</f>
        <v>http://services.igi-global.com/resolvedoi/resolve.aspx?doi=10.4018/978-1-61520-739-8</v>
      </c>
    </row>
    <row r="171" spans="1:14">
      <c r="A171" s="47">
        <v>170</v>
      </c>
      <c r="B171" s="47" t="s">
        <v>571</v>
      </c>
      <c r="C171" s="47" t="s">
        <v>4477</v>
      </c>
      <c r="D171" s="48" t="s">
        <v>5019</v>
      </c>
      <c r="E171" s="48" t="s">
        <v>5020</v>
      </c>
      <c r="F171" s="47" t="s">
        <v>5021</v>
      </c>
      <c r="G171" s="47" t="s">
        <v>5022</v>
      </c>
      <c r="H171" s="47" t="s">
        <v>5023</v>
      </c>
      <c r="I171" s="47" t="s">
        <v>3987</v>
      </c>
      <c r="J171" s="47" t="s">
        <v>3987</v>
      </c>
      <c r="K171" s="47" t="s">
        <v>5024</v>
      </c>
      <c r="L171" s="47" t="s">
        <v>569</v>
      </c>
      <c r="M171" s="47" t="s">
        <v>4007</v>
      </c>
      <c r="N171" s="33" t="str">
        <f>HYPERLINK("http://services.igi-global.com/resolvedoi/resolve.aspx?doi=10.4018/978-1-60566-840-6")</f>
        <v>http://services.igi-global.com/resolvedoi/resolve.aspx?doi=10.4018/978-1-60566-840-6</v>
      </c>
    </row>
    <row r="172" spans="1:14">
      <c r="A172" s="47">
        <v>171</v>
      </c>
      <c r="B172" s="47" t="s">
        <v>571</v>
      </c>
      <c r="C172" s="47" t="s">
        <v>4477</v>
      </c>
      <c r="D172" s="48" t="s">
        <v>4508</v>
      </c>
      <c r="E172" s="48" t="s">
        <v>5025</v>
      </c>
      <c r="F172" s="47" t="s">
        <v>5026</v>
      </c>
      <c r="G172" s="47" t="s">
        <v>5027</v>
      </c>
      <c r="H172" s="47" t="s">
        <v>5028</v>
      </c>
      <c r="I172" s="47" t="s">
        <v>3987</v>
      </c>
      <c r="J172" s="47" t="s">
        <v>3987</v>
      </c>
      <c r="K172" s="47" t="s">
        <v>5029</v>
      </c>
      <c r="L172" s="47" t="s">
        <v>569</v>
      </c>
      <c r="M172" s="47" t="s">
        <v>4007</v>
      </c>
      <c r="N172" s="33" t="str">
        <f>HYPERLINK("http://services.igi-global.com/resolvedoi/resolve.aspx?doi=10.4018/978-1-60566-719-5")</f>
        <v>http://services.igi-global.com/resolvedoi/resolve.aspx?doi=10.4018/978-1-60566-719-5</v>
      </c>
    </row>
    <row r="173" spans="1:14">
      <c r="A173" s="47">
        <v>172</v>
      </c>
      <c r="B173" s="47" t="s">
        <v>571</v>
      </c>
      <c r="C173" s="47" t="s">
        <v>4477</v>
      </c>
      <c r="D173" s="48" t="s">
        <v>4574</v>
      </c>
      <c r="E173" s="48" t="s">
        <v>4575</v>
      </c>
      <c r="F173" s="47" t="s">
        <v>4576</v>
      </c>
      <c r="G173" s="47" t="s">
        <v>4577</v>
      </c>
      <c r="H173" s="47" t="s">
        <v>4578</v>
      </c>
      <c r="I173" s="47" t="s">
        <v>3987</v>
      </c>
      <c r="J173" s="47" t="s">
        <v>3987</v>
      </c>
      <c r="K173" s="47" t="s">
        <v>4579</v>
      </c>
      <c r="L173" s="47" t="s">
        <v>568</v>
      </c>
      <c r="M173" s="47" t="s">
        <v>4007</v>
      </c>
      <c r="N173" s="33" t="str">
        <f>HYPERLINK("http://services.igi-global.com/resolvedoi/resolve.aspx?doi=10.4018/978-1-60566-888-8")</f>
        <v>http://services.igi-global.com/resolvedoi/resolve.aspx?doi=10.4018/978-1-60566-888-8</v>
      </c>
    </row>
    <row r="174" spans="1:14">
      <c r="A174" s="47">
        <v>173</v>
      </c>
      <c r="B174" s="47" t="s">
        <v>571</v>
      </c>
      <c r="C174" s="47" t="s">
        <v>4477</v>
      </c>
      <c r="D174" s="48" t="s">
        <v>528</v>
      </c>
      <c r="E174" s="48" t="s">
        <v>4580</v>
      </c>
      <c r="F174" s="47" t="s">
        <v>4581</v>
      </c>
      <c r="G174" s="47" t="s">
        <v>4582</v>
      </c>
      <c r="H174" s="47" t="s">
        <v>4583</v>
      </c>
      <c r="I174" s="47" t="s">
        <v>3987</v>
      </c>
      <c r="J174" s="47" t="s">
        <v>3987</v>
      </c>
      <c r="K174" s="47" t="s">
        <v>4584</v>
      </c>
      <c r="L174" s="47" t="s">
        <v>569</v>
      </c>
      <c r="M174" s="47" t="s">
        <v>4007</v>
      </c>
      <c r="N174" s="33" t="str">
        <f>HYPERLINK("http://services.igi-global.com/resolvedoi/resolve.aspx?doi=10.4018/978-1-61520-771-8")</f>
        <v>http://services.igi-global.com/resolvedoi/resolve.aspx?doi=10.4018/978-1-61520-771-8</v>
      </c>
    </row>
    <row r="175" spans="1:14">
      <c r="A175" s="47">
        <v>174</v>
      </c>
      <c r="B175" s="47" t="s">
        <v>571</v>
      </c>
      <c r="C175" s="47" t="s">
        <v>4477</v>
      </c>
      <c r="D175" s="48" t="s">
        <v>525</v>
      </c>
      <c r="E175" s="48" t="s">
        <v>4503</v>
      </c>
      <c r="F175" s="47" t="s">
        <v>4504</v>
      </c>
      <c r="G175" s="47" t="s">
        <v>4505</v>
      </c>
      <c r="H175" s="47" t="s">
        <v>4506</v>
      </c>
      <c r="I175" s="47" t="s">
        <v>3987</v>
      </c>
      <c r="J175" s="47" t="s">
        <v>3987</v>
      </c>
      <c r="K175" s="47" t="s">
        <v>4507</v>
      </c>
      <c r="L175" s="47" t="s">
        <v>569</v>
      </c>
      <c r="M175" s="47" t="s">
        <v>4033</v>
      </c>
      <c r="N175" s="33" t="str">
        <f>HYPERLINK("http://services.igi-global.com/resolvedoi/resolve.aspx?doi=10.4018/978-1-60566-290-9")</f>
        <v>http://services.igi-global.com/resolvedoi/resolve.aspx?doi=10.4018/978-1-60566-290-9</v>
      </c>
    </row>
    <row r="176" spans="1:14">
      <c r="A176" s="47">
        <v>175</v>
      </c>
      <c r="B176" s="47" t="s">
        <v>571</v>
      </c>
      <c r="C176" s="47" t="s">
        <v>4477</v>
      </c>
      <c r="D176" s="48" t="s">
        <v>4966</v>
      </c>
      <c r="E176" s="48" t="s">
        <v>4967</v>
      </c>
      <c r="F176" s="47" t="s">
        <v>4968</v>
      </c>
      <c r="G176" s="47" t="s">
        <v>4969</v>
      </c>
      <c r="H176" s="47" t="s">
        <v>4970</v>
      </c>
      <c r="I176" s="47" t="s">
        <v>3987</v>
      </c>
      <c r="J176" s="47" t="s">
        <v>3987</v>
      </c>
      <c r="K176" s="47" t="s">
        <v>4971</v>
      </c>
      <c r="L176" s="47" t="s">
        <v>569</v>
      </c>
      <c r="M176" s="47" t="s">
        <v>4033</v>
      </c>
      <c r="N176" s="33" t="str">
        <f>HYPERLINK("http://services.igi-global.com/resolvedoi/resolve.aspx?doi=10.4018/978-1-60566-406-4")</f>
        <v>http://services.igi-global.com/resolvedoi/resolve.aspx?doi=10.4018/978-1-60566-406-4</v>
      </c>
    </row>
    <row r="177" spans="1:14">
      <c r="A177" s="47">
        <v>176</v>
      </c>
      <c r="B177" s="47" t="s">
        <v>571</v>
      </c>
      <c r="C177" s="47" t="s">
        <v>4477</v>
      </c>
      <c r="D177" s="48" t="s">
        <v>506</v>
      </c>
      <c r="E177" s="48" t="s">
        <v>4994</v>
      </c>
      <c r="F177" s="47" t="s">
        <v>4995</v>
      </c>
      <c r="G177" s="47" t="s">
        <v>4996</v>
      </c>
      <c r="H177" s="47" t="s">
        <v>4997</v>
      </c>
      <c r="I177" s="47" t="s">
        <v>3987</v>
      </c>
      <c r="J177" s="47" t="s">
        <v>3987</v>
      </c>
      <c r="K177" s="47" t="s">
        <v>4998</v>
      </c>
      <c r="L177" s="47" t="s">
        <v>569</v>
      </c>
      <c r="M177" s="47" t="s">
        <v>4033</v>
      </c>
      <c r="N177" s="33" t="str">
        <f>HYPERLINK("http://services.igi-global.com/resolvedoi/resolve.aspx?doi=10.4018/978-1-59904-789-8")</f>
        <v>http://services.igi-global.com/resolvedoi/resolve.aspx?doi=10.4018/978-1-59904-789-8</v>
      </c>
    </row>
    <row r="178" spans="1:14">
      <c r="A178" s="47">
        <v>177</v>
      </c>
      <c r="B178" s="47" t="s">
        <v>571</v>
      </c>
      <c r="C178" s="47" t="s">
        <v>4585</v>
      </c>
      <c r="D178" s="48" t="s">
        <v>4586</v>
      </c>
      <c r="E178" s="48" t="s">
        <v>4587</v>
      </c>
      <c r="F178" s="47" t="s">
        <v>4588</v>
      </c>
      <c r="G178" s="47" t="s">
        <v>4589</v>
      </c>
      <c r="H178" s="47" t="s">
        <v>4590</v>
      </c>
      <c r="I178" s="47" t="s">
        <v>3987</v>
      </c>
      <c r="J178" s="47" t="s">
        <v>3987</v>
      </c>
      <c r="K178" s="47" t="s">
        <v>1228</v>
      </c>
      <c r="L178" s="47" t="s">
        <v>569</v>
      </c>
      <c r="M178" s="47" t="s">
        <v>3989</v>
      </c>
      <c r="N178" s="33" t="str">
        <f>HYPERLINK("http://services.igi-global.com/resolvedoi/resolve.aspx?doi=10.4018/978-1-61520-783-1")</f>
        <v>http://services.igi-global.com/resolvedoi/resolve.aspx?doi=10.4018/978-1-61520-783-1</v>
      </c>
    </row>
    <row r="179" spans="1:14">
      <c r="A179" s="47">
        <v>178</v>
      </c>
      <c r="B179" s="47" t="s">
        <v>571</v>
      </c>
      <c r="C179" s="47" t="s">
        <v>4585</v>
      </c>
      <c r="D179" s="48" t="s">
        <v>2042</v>
      </c>
      <c r="E179" s="48" t="s">
        <v>4591</v>
      </c>
      <c r="F179" s="47" t="s">
        <v>4592</v>
      </c>
      <c r="G179" s="47" t="s">
        <v>4593</v>
      </c>
      <c r="H179" s="47" t="s">
        <v>4594</v>
      </c>
      <c r="I179" s="47" t="s">
        <v>3987</v>
      </c>
      <c r="J179" s="47" t="s">
        <v>3987</v>
      </c>
      <c r="K179" s="47" t="s">
        <v>2602</v>
      </c>
      <c r="L179" s="47" t="s">
        <v>569</v>
      </c>
      <c r="M179" s="47" t="s">
        <v>3989</v>
      </c>
      <c r="N179" s="33" t="str">
        <f>HYPERLINK("http://services.igi-global.com/resolvedoi/resolve.aspx?doi=10.4018/978-1-61520-737-4")</f>
        <v>http://services.igi-global.com/resolvedoi/resolve.aspx?doi=10.4018/978-1-61520-737-4</v>
      </c>
    </row>
    <row r="180" spans="1:14">
      <c r="A180" s="47">
        <v>179</v>
      </c>
      <c r="B180" s="47" t="s">
        <v>571</v>
      </c>
      <c r="C180" s="47" t="s">
        <v>4585</v>
      </c>
      <c r="D180" s="48" t="s">
        <v>513</v>
      </c>
      <c r="E180" s="48" t="s">
        <v>4600</v>
      </c>
      <c r="F180" s="47" t="s">
        <v>4601</v>
      </c>
      <c r="G180" s="47" t="s">
        <v>4602</v>
      </c>
      <c r="H180" s="47" t="s">
        <v>4603</v>
      </c>
      <c r="I180" s="47" t="s">
        <v>3987</v>
      </c>
      <c r="J180" s="47" t="s">
        <v>3987</v>
      </c>
      <c r="K180" s="47" t="s">
        <v>4604</v>
      </c>
      <c r="L180" s="47" t="s">
        <v>569</v>
      </c>
      <c r="M180" s="47" t="s">
        <v>3989</v>
      </c>
      <c r="N180" s="33" t="str">
        <f>HYPERLINK("http://services.igi-global.com/resolvedoi/resolve.aspx?doi=10.4018/978-1-60960-851-4")</f>
        <v>http://services.igi-global.com/resolvedoi/resolve.aspx?doi=10.4018/978-1-60960-851-4</v>
      </c>
    </row>
    <row r="181" spans="1:14">
      <c r="A181" s="47">
        <v>180</v>
      </c>
      <c r="B181" s="47" t="s">
        <v>571</v>
      </c>
      <c r="C181" s="47" t="s">
        <v>4585</v>
      </c>
      <c r="D181" s="48" t="s">
        <v>508</v>
      </c>
      <c r="E181" s="48" t="s">
        <v>5030</v>
      </c>
      <c r="F181" s="47" t="s">
        <v>5031</v>
      </c>
      <c r="G181" s="47" t="s">
        <v>5032</v>
      </c>
      <c r="H181" s="47" t="s">
        <v>5033</v>
      </c>
      <c r="I181" s="47" t="s">
        <v>3987</v>
      </c>
      <c r="J181" s="47" t="s">
        <v>3987</v>
      </c>
      <c r="K181" s="47" t="s">
        <v>5034</v>
      </c>
      <c r="L181" s="47" t="s">
        <v>569</v>
      </c>
      <c r="M181" s="47" t="s">
        <v>3989</v>
      </c>
      <c r="N181" s="33" t="str">
        <f>HYPERLINK("http://services.igi-global.com/resolvedoi/resolve.aspx?doi=10.4018/978-1-61692-012-8")</f>
        <v>http://services.igi-global.com/resolvedoi/resolve.aspx?doi=10.4018/978-1-61692-012-8</v>
      </c>
    </row>
    <row r="182" spans="1:14">
      <c r="A182" s="47">
        <v>181</v>
      </c>
      <c r="B182" s="47" t="s">
        <v>571</v>
      </c>
      <c r="C182" s="47" t="s">
        <v>4585</v>
      </c>
      <c r="D182" s="48" t="s">
        <v>509</v>
      </c>
      <c r="E182" s="48" t="s">
        <v>5035</v>
      </c>
      <c r="F182" s="47" t="s">
        <v>5036</v>
      </c>
      <c r="G182" s="47" t="s">
        <v>5037</v>
      </c>
      <c r="H182" s="47" t="s">
        <v>5038</v>
      </c>
      <c r="I182" s="47" t="s">
        <v>4245</v>
      </c>
      <c r="J182" s="47" t="s">
        <v>3987</v>
      </c>
      <c r="K182" s="47" t="s">
        <v>5034</v>
      </c>
      <c r="L182" s="47" t="s">
        <v>569</v>
      </c>
      <c r="M182" s="47" t="s">
        <v>3989</v>
      </c>
      <c r="N182" s="33" t="str">
        <f>HYPERLINK("http://services.igi-global.com/resolvedoi/resolve.aspx?doi=10.4018/978-1-61520-847-0")</f>
        <v>http://services.igi-global.com/resolvedoi/resolve.aspx?doi=10.4018/978-1-61520-847-0</v>
      </c>
    </row>
    <row r="183" spans="1:14">
      <c r="A183" s="47">
        <v>182</v>
      </c>
      <c r="B183" s="47" t="s">
        <v>571</v>
      </c>
      <c r="C183" s="47" t="s">
        <v>4585</v>
      </c>
      <c r="D183" s="48" t="s">
        <v>513</v>
      </c>
      <c r="E183" s="48" t="s">
        <v>4605</v>
      </c>
      <c r="F183" s="47" t="s">
        <v>4606</v>
      </c>
      <c r="G183" s="47" t="s">
        <v>4607</v>
      </c>
      <c r="H183" s="47" t="s">
        <v>4608</v>
      </c>
      <c r="I183" s="47" t="s">
        <v>3987</v>
      </c>
      <c r="J183" s="47" t="s">
        <v>3987</v>
      </c>
      <c r="K183" s="47" t="s">
        <v>4609</v>
      </c>
      <c r="L183" s="47" t="s">
        <v>569</v>
      </c>
      <c r="M183" s="47" t="s">
        <v>3989</v>
      </c>
      <c r="N183" s="33" t="str">
        <f>HYPERLINK("http://services.igi-global.com/resolvedoi/resolve.aspx?doi=10.4018/978-1-60960-777-7")</f>
        <v>http://services.igi-global.com/resolvedoi/resolve.aspx?doi=10.4018/978-1-60960-777-7</v>
      </c>
    </row>
    <row r="184" spans="1:14">
      <c r="A184" s="47">
        <v>183</v>
      </c>
      <c r="B184" s="47" t="s">
        <v>571</v>
      </c>
      <c r="C184" s="47" t="s">
        <v>4585</v>
      </c>
      <c r="D184" s="48" t="s">
        <v>513</v>
      </c>
      <c r="E184" s="48" t="s">
        <v>4595</v>
      </c>
      <c r="F184" s="47" t="s">
        <v>4596</v>
      </c>
      <c r="G184" s="47" t="s">
        <v>4597</v>
      </c>
      <c r="H184" s="47" t="s">
        <v>4598</v>
      </c>
      <c r="I184" s="47" t="s">
        <v>3987</v>
      </c>
      <c r="J184" s="47" t="s">
        <v>3987</v>
      </c>
      <c r="K184" s="47" t="s">
        <v>4599</v>
      </c>
      <c r="L184" s="47" t="s">
        <v>569</v>
      </c>
      <c r="M184" s="47" t="s">
        <v>4033</v>
      </c>
      <c r="N184" s="33" t="str">
        <f>HYPERLINK("http://services.igi-global.com/resolvedoi/resolve.aspx?doi=10.4018/978-1-60566-326-5")</f>
        <v>http://services.igi-global.com/resolvedoi/resolve.aspx?doi=10.4018/978-1-60566-326-5</v>
      </c>
    </row>
    <row r="185" spans="1:14">
      <c r="A185" s="47">
        <v>184</v>
      </c>
      <c r="B185" s="47" t="s">
        <v>571</v>
      </c>
      <c r="C185" s="47" t="s">
        <v>1229</v>
      </c>
      <c r="D185" s="48" t="s">
        <v>2092</v>
      </c>
      <c r="E185" s="48" t="s">
        <v>4610</v>
      </c>
      <c r="F185" s="47" t="s">
        <v>4611</v>
      </c>
      <c r="G185" s="47" t="s">
        <v>4612</v>
      </c>
      <c r="H185" s="47" t="s">
        <v>4613</v>
      </c>
      <c r="I185" s="47" t="s">
        <v>3987</v>
      </c>
      <c r="J185" s="47" t="s">
        <v>3987</v>
      </c>
      <c r="K185" s="47" t="s">
        <v>1230</v>
      </c>
      <c r="L185" s="47" t="s">
        <v>569</v>
      </c>
      <c r="M185" s="47" t="s">
        <v>3989</v>
      </c>
      <c r="N185" s="33" t="str">
        <f>HYPERLINK("http://services.igi-global.com/resolvedoi/resolve.aspx?doi=10.4018/978-1-60960-197-3")</f>
        <v>http://services.igi-global.com/resolvedoi/resolve.aspx?doi=10.4018/978-1-60960-197-3</v>
      </c>
    </row>
    <row r="186" spans="1:14">
      <c r="A186" s="47">
        <v>185</v>
      </c>
      <c r="B186" s="47" t="s">
        <v>571</v>
      </c>
      <c r="C186" s="47" t="s">
        <v>1229</v>
      </c>
      <c r="D186" s="48" t="s">
        <v>508</v>
      </c>
      <c r="E186" s="48" t="s">
        <v>4614</v>
      </c>
      <c r="F186" s="47" t="s">
        <v>4615</v>
      </c>
      <c r="G186" s="47" t="s">
        <v>4616</v>
      </c>
      <c r="H186" s="47" t="s">
        <v>4617</v>
      </c>
      <c r="I186" s="47" t="s">
        <v>3987</v>
      </c>
      <c r="J186" s="47" t="s">
        <v>3987</v>
      </c>
      <c r="K186" s="47" t="s">
        <v>4618</v>
      </c>
      <c r="L186" s="47" t="s">
        <v>569</v>
      </c>
      <c r="M186" s="47" t="s">
        <v>3989</v>
      </c>
      <c r="N186" s="33" t="str">
        <f>HYPERLINK("http://services.igi-global.com/resolvedoi/resolve.aspx?doi=10.4018/978-1-60960-833-0")</f>
        <v>http://services.igi-global.com/resolvedoi/resolve.aspx?doi=10.4018/978-1-60960-833-0</v>
      </c>
    </row>
    <row r="187" spans="1:14">
      <c r="A187" s="47">
        <v>186</v>
      </c>
      <c r="B187" s="47" t="s">
        <v>571</v>
      </c>
      <c r="C187" s="47" t="s">
        <v>1229</v>
      </c>
      <c r="D187" s="48" t="s">
        <v>510</v>
      </c>
      <c r="E187" s="48" t="s">
        <v>5039</v>
      </c>
      <c r="F187" s="47" t="s">
        <v>5040</v>
      </c>
      <c r="G187" s="47" t="s">
        <v>5041</v>
      </c>
      <c r="H187" s="47" t="s">
        <v>5042</v>
      </c>
      <c r="I187" s="47" t="s">
        <v>4245</v>
      </c>
      <c r="J187" s="47" t="s">
        <v>3987</v>
      </c>
      <c r="K187" s="47" t="s">
        <v>5043</v>
      </c>
      <c r="L187" s="47" t="s">
        <v>569</v>
      </c>
      <c r="M187" s="47" t="s">
        <v>3989</v>
      </c>
      <c r="N187" s="33" t="str">
        <f>HYPERLINK("http://services.igi-global.com/resolvedoi/resolve.aspx?doi=10.4018/978-1-60960-040-2")</f>
        <v>http://services.igi-global.com/resolvedoi/resolve.aspx?doi=10.4018/978-1-60960-040-2</v>
      </c>
    </row>
    <row r="188" spans="1:14">
      <c r="A188" s="47">
        <v>187</v>
      </c>
      <c r="B188" s="47" t="s">
        <v>571</v>
      </c>
      <c r="C188" s="47" t="s">
        <v>1229</v>
      </c>
      <c r="D188" s="48" t="s">
        <v>4625</v>
      </c>
      <c r="E188" s="48" t="s">
        <v>4626</v>
      </c>
      <c r="F188" s="47" t="s">
        <v>4627</v>
      </c>
      <c r="G188" s="47" t="s">
        <v>4628</v>
      </c>
      <c r="H188" s="47" t="s">
        <v>4629</v>
      </c>
      <c r="I188" s="47" t="s">
        <v>3987</v>
      </c>
      <c r="J188" s="47" t="s">
        <v>3987</v>
      </c>
      <c r="K188" s="47" t="s">
        <v>4630</v>
      </c>
      <c r="L188" s="47" t="s">
        <v>568</v>
      </c>
      <c r="M188" s="47" t="s">
        <v>3989</v>
      </c>
      <c r="N188" s="33" t="str">
        <f>HYPERLINK("http://services.igi-global.com/resolvedoi/resolve.aspx?doi=10.4018/978-1-60960-824-8")</f>
        <v>http://services.igi-global.com/resolvedoi/resolve.aspx?doi=10.4018/978-1-60960-824-8</v>
      </c>
    </row>
    <row r="189" spans="1:14">
      <c r="A189" s="47">
        <v>188</v>
      </c>
      <c r="B189" s="47" t="s">
        <v>571</v>
      </c>
      <c r="C189" s="47" t="s">
        <v>1229</v>
      </c>
      <c r="D189" s="48" t="s">
        <v>566</v>
      </c>
      <c r="E189" s="48" t="s">
        <v>4631</v>
      </c>
      <c r="F189" s="47" t="s">
        <v>4632</v>
      </c>
      <c r="G189" s="47" t="s">
        <v>4633</v>
      </c>
      <c r="H189" s="47" t="s">
        <v>4634</v>
      </c>
      <c r="I189" s="47" t="s">
        <v>3987</v>
      </c>
      <c r="J189" s="47" t="s">
        <v>3987</v>
      </c>
      <c r="K189" s="47" t="s">
        <v>2052</v>
      </c>
      <c r="L189" s="47" t="s">
        <v>569</v>
      </c>
      <c r="M189" s="47" t="s">
        <v>3989</v>
      </c>
      <c r="N189" s="33" t="str">
        <f>HYPERLINK("http://services.igi-global.com/resolvedoi/resolve.aspx?doi=10.4018/978-1-60960-519-3")</f>
        <v>http://services.igi-global.com/resolvedoi/resolve.aspx?doi=10.4018/978-1-60960-519-3</v>
      </c>
    </row>
    <row r="190" spans="1:14">
      <c r="A190" s="47">
        <v>189</v>
      </c>
      <c r="B190" s="47" t="s">
        <v>571</v>
      </c>
      <c r="C190" s="47" t="s">
        <v>1229</v>
      </c>
      <c r="D190" s="48" t="s">
        <v>508</v>
      </c>
      <c r="E190" s="48" t="s">
        <v>5044</v>
      </c>
      <c r="F190" s="47" t="s">
        <v>5045</v>
      </c>
      <c r="G190" s="47" t="s">
        <v>5046</v>
      </c>
      <c r="H190" s="47" t="s">
        <v>5047</v>
      </c>
      <c r="I190" s="47" t="s">
        <v>3987</v>
      </c>
      <c r="J190" s="47" t="s">
        <v>3987</v>
      </c>
      <c r="K190" s="47" t="s">
        <v>5048</v>
      </c>
      <c r="L190" s="47" t="s">
        <v>569</v>
      </c>
      <c r="M190" s="47" t="s">
        <v>3989</v>
      </c>
      <c r="N190" s="33" t="str">
        <f>HYPERLINK("http://services.igi-global.com/resolvedoi/resolve.aspx?doi=10.4018/978-1-60960-869-9")</f>
        <v>http://services.igi-global.com/resolvedoi/resolve.aspx?doi=10.4018/978-1-60960-869-9</v>
      </c>
    </row>
    <row r="191" spans="1:14">
      <c r="A191" s="47">
        <v>190</v>
      </c>
      <c r="B191" s="47" t="s">
        <v>571</v>
      </c>
      <c r="C191" s="47" t="s">
        <v>1229</v>
      </c>
      <c r="D191" s="48" t="s">
        <v>4635</v>
      </c>
      <c r="E191" s="48" t="s">
        <v>4636</v>
      </c>
      <c r="F191" s="47" t="s">
        <v>4637</v>
      </c>
      <c r="G191" s="47" t="s">
        <v>4638</v>
      </c>
      <c r="H191" s="47" t="s">
        <v>4639</v>
      </c>
      <c r="I191" s="47" t="s">
        <v>3987</v>
      </c>
      <c r="J191" s="47" t="s">
        <v>3987</v>
      </c>
      <c r="K191" s="47" t="s">
        <v>1231</v>
      </c>
      <c r="L191" s="47" t="s">
        <v>569</v>
      </c>
      <c r="M191" s="47" t="s">
        <v>3989</v>
      </c>
      <c r="N191" s="33" t="str">
        <f>HYPERLINK("http://services.igi-global.com/resolvedoi/resolve.aspx?doi=10.4018/978-1-60960-209-3")</f>
        <v>http://services.igi-global.com/resolvedoi/resolve.aspx?doi=10.4018/978-1-60960-209-3</v>
      </c>
    </row>
    <row r="192" spans="1:14">
      <c r="A192" s="47">
        <v>191</v>
      </c>
      <c r="B192" s="47" t="s">
        <v>571</v>
      </c>
      <c r="C192" s="47" t="s">
        <v>1229</v>
      </c>
      <c r="D192" s="48" t="s">
        <v>4619</v>
      </c>
      <c r="E192" s="48" t="s">
        <v>4620</v>
      </c>
      <c r="F192" s="47" t="s">
        <v>4621</v>
      </c>
      <c r="G192" s="47" t="s">
        <v>4622</v>
      </c>
      <c r="H192" s="47" t="s">
        <v>4623</v>
      </c>
      <c r="I192" s="47" t="s">
        <v>3987</v>
      </c>
      <c r="J192" s="47" t="s">
        <v>3987</v>
      </c>
      <c r="K192" s="47" t="s">
        <v>4624</v>
      </c>
      <c r="L192" s="47" t="s">
        <v>568</v>
      </c>
      <c r="M192" s="47" t="s">
        <v>4007</v>
      </c>
      <c r="N192" s="33" t="str">
        <f>HYPERLINK("http://services.igi-global.com/resolvedoi/resolve.aspx?doi=10.4018/978-1-61520-601-8")</f>
        <v>http://services.igi-global.com/resolvedoi/resolve.aspx?doi=10.4018/978-1-61520-601-8</v>
      </c>
    </row>
    <row r="193" spans="1:14">
      <c r="A193" s="47">
        <v>192</v>
      </c>
      <c r="B193" s="47" t="s">
        <v>571</v>
      </c>
      <c r="C193" s="47" t="s">
        <v>4640</v>
      </c>
      <c r="D193" s="48" t="s">
        <v>4641</v>
      </c>
      <c r="E193" s="48" t="s">
        <v>4642</v>
      </c>
      <c r="F193" s="47" t="s">
        <v>4643</v>
      </c>
      <c r="G193" s="47" t="s">
        <v>4644</v>
      </c>
      <c r="H193" s="47" t="s">
        <v>4645</v>
      </c>
      <c r="I193" s="47" t="s">
        <v>3987</v>
      </c>
      <c r="J193" s="47" t="s">
        <v>3987</v>
      </c>
      <c r="K193" s="47" t="s">
        <v>2635</v>
      </c>
      <c r="L193" s="47" t="s">
        <v>569</v>
      </c>
      <c r="M193" s="47" t="s">
        <v>3989</v>
      </c>
      <c r="N193" s="33" t="str">
        <f>HYPERLINK("http://services.igi-global.com/resolvedoi/resolve.aspx?doi=10.4018/978-1-60960-827-9")</f>
        <v>http://services.igi-global.com/resolvedoi/resolve.aspx?doi=10.4018/978-1-60960-827-9</v>
      </c>
    </row>
    <row r="194" spans="1:14">
      <c r="A194" s="47">
        <v>193</v>
      </c>
      <c r="B194" s="47" t="s">
        <v>571</v>
      </c>
      <c r="C194" s="47" t="s">
        <v>4640</v>
      </c>
      <c r="D194" s="48" t="s">
        <v>529</v>
      </c>
      <c r="E194" s="48" t="s">
        <v>4646</v>
      </c>
      <c r="F194" s="47" t="s">
        <v>4647</v>
      </c>
      <c r="G194" s="47" t="s">
        <v>4648</v>
      </c>
      <c r="H194" s="47" t="s">
        <v>4649</v>
      </c>
      <c r="I194" s="47" t="s">
        <v>3987</v>
      </c>
      <c r="J194" s="47" t="s">
        <v>3987</v>
      </c>
      <c r="K194" s="47" t="s">
        <v>4650</v>
      </c>
      <c r="L194" s="47" t="s">
        <v>569</v>
      </c>
      <c r="M194" s="47" t="s">
        <v>3989</v>
      </c>
      <c r="N194" s="33" t="str">
        <f>HYPERLINK("http://services.igi-global.com/resolvedoi/resolve.aspx?doi=10.4018/978-1-60960-735-7")</f>
        <v>http://services.igi-global.com/resolvedoi/resolve.aspx?doi=10.4018/978-1-60960-735-7</v>
      </c>
    </row>
    <row r="195" spans="1:14">
      <c r="A195" s="47">
        <v>194</v>
      </c>
      <c r="B195" s="47" t="s">
        <v>571</v>
      </c>
      <c r="C195" s="47" t="s">
        <v>4640</v>
      </c>
      <c r="D195" s="48" t="s">
        <v>4651</v>
      </c>
      <c r="E195" s="48" t="s">
        <v>4652</v>
      </c>
      <c r="F195" s="47" t="s">
        <v>4653</v>
      </c>
      <c r="G195" s="47" t="s">
        <v>4654</v>
      </c>
      <c r="H195" s="47" t="s">
        <v>4655</v>
      </c>
      <c r="I195" s="47" t="s">
        <v>3987</v>
      </c>
      <c r="J195" s="47" t="s">
        <v>3987</v>
      </c>
      <c r="K195" s="47" t="s">
        <v>1232</v>
      </c>
      <c r="L195" s="47" t="s">
        <v>1233</v>
      </c>
      <c r="M195" s="47" t="s">
        <v>3989</v>
      </c>
      <c r="N195" s="33" t="str">
        <f>HYPERLINK("http://services.igi-global.com/resolvedoi/resolve.aspx?doi=10.4018/978-1-60960-860-6")</f>
        <v>http://services.igi-global.com/resolvedoi/resolve.aspx?doi=10.4018/978-1-60960-860-6</v>
      </c>
    </row>
    <row r="196" spans="1:14">
      <c r="A196" s="47">
        <v>195</v>
      </c>
      <c r="B196" s="47" t="s">
        <v>571</v>
      </c>
      <c r="C196" s="47" t="s">
        <v>4640</v>
      </c>
      <c r="D196" s="48" t="s">
        <v>530</v>
      </c>
      <c r="E196" s="48" t="s">
        <v>4668</v>
      </c>
      <c r="F196" s="47" t="s">
        <v>4669</v>
      </c>
      <c r="G196" s="47" t="s">
        <v>4670</v>
      </c>
      <c r="H196" s="47" t="s">
        <v>4671</v>
      </c>
      <c r="I196" s="47" t="s">
        <v>3987</v>
      </c>
      <c r="J196" s="47" t="s">
        <v>3987</v>
      </c>
      <c r="K196" s="47" t="s">
        <v>535</v>
      </c>
      <c r="L196" s="47" t="s">
        <v>569</v>
      </c>
      <c r="M196" s="47" t="s">
        <v>3989</v>
      </c>
      <c r="N196" s="33" t="str">
        <f>HYPERLINK("http://services.igi-global.com/resolvedoi/resolve.aspx?doi=10.4018/978-1-60960-603-9")</f>
        <v>http://services.igi-global.com/resolvedoi/resolve.aspx?doi=10.4018/978-1-60960-603-9</v>
      </c>
    </row>
    <row r="197" spans="1:14">
      <c r="A197" s="47">
        <v>196</v>
      </c>
      <c r="B197" s="47" t="s">
        <v>571</v>
      </c>
      <c r="C197" s="47" t="s">
        <v>4640</v>
      </c>
      <c r="D197" s="48" t="s">
        <v>5049</v>
      </c>
      <c r="E197" s="48" t="s">
        <v>5050</v>
      </c>
      <c r="F197" s="47" t="s">
        <v>5051</v>
      </c>
      <c r="G197" s="47" t="s">
        <v>5052</v>
      </c>
      <c r="H197" s="47" t="s">
        <v>5053</v>
      </c>
      <c r="I197" s="47" t="s">
        <v>3987</v>
      </c>
      <c r="J197" s="47" t="s">
        <v>3987</v>
      </c>
      <c r="K197" s="47" t="s">
        <v>5054</v>
      </c>
      <c r="L197" s="47" t="s">
        <v>1233</v>
      </c>
      <c r="M197" s="47" t="s">
        <v>3989</v>
      </c>
      <c r="N197" s="33" t="str">
        <f>HYPERLINK("http://services.igi-global.com/resolvedoi/resolve.aspx?doi=10.4018/978-1-60960-747-0")</f>
        <v>http://services.igi-global.com/resolvedoi/resolve.aspx?doi=10.4018/978-1-60960-747-0</v>
      </c>
    </row>
    <row r="198" spans="1:14">
      <c r="A198" s="47">
        <v>197</v>
      </c>
      <c r="B198" s="47" t="s">
        <v>571</v>
      </c>
      <c r="C198" s="47" t="s">
        <v>4640</v>
      </c>
      <c r="D198" s="48" t="s">
        <v>4678</v>
      </c>
      <c r="E198" s="48" t="s">
        <v>4679</v>
      </c>
      <c r="F198" s="47" t="s">
        <v>4680</v>
      </c>
      <c r="G198" s="47" t="s">
        <v>4681</v>
      </c>
      <c r="H198" s="47" t="s">
        <v>4682</v>
      </c>
      <c r="I198" s="47" t="s">
        <v>3987</v>
      </c>
      <c r="J198" s="47" t="s">
        <v>3987</v>
      </c>
      <c r="K198" s="47" t="s">
        <v>4683</v>
      </c>
      <c r="L198" s="47" t="s">
        <v>569</v>
      </c>
      <c r="M198" s="47" t="s">
        <v>3989</v>
      </c>
      <c r="N198" s="33" t="str">
        <f>HYPERLINK("http://services.igi-global.com/resolvedoi/resolve.aspx?doi=10.4018/978-1-60960-212-3")</f>
        <v>http://services.igi-global.com/resolvedoi/resolve.aspx?doi=10.4018/978-1-60960-212-3</v>
      </c>
    </row>
    <row r="199" spans="1:14">
      <c r="A199" s="47">
        <v>198</v>
      </c>
      <c r="B199" s="47" t="s">
        <v>571</v>
      </c>
      <c r="C199" s="47" t="s">
        <v>4640</v>
      </c>
      <c r="D199" s="48" t="s">
        <v>529</v>
      </c>
      <c r="E199" s="48" t="s">
        <v>4690</v>
      </c>
      <c r="F199" s="47" t="s">
        <v>4691</v>
      </c>
      <c r="G199" s="47" t="s">
        <v>4692</v>
      </c>
      <c r="H199" s="47" t="s">
        <v>4693</v>
      </c>
      <c r="I199" s="47" t="s">
        <v>3987</v>
      </c>
      <c r="J199" s="47" t="s">
        <v>3987</v>
      </c>
      <c r="K199" s="47" t="s">
        <v>4694</v>
      </c>
      <c r="L199" s="47" t="s">
        <v>569</v>
      </c>
      <c r="M199" s="47" t="s">
        <v>3989</v>
      </c>
      <c r="N199" s="33" t="str">
        <f>HYPERLINK("http://services.igi-global.com/resolvedoi/resolve.aspx?doi=10.4018/978-1-60960-493-6")</f>
        <v>http://services.igi-global.com/resolvedoi/resolve.aspx?doi=10.4018/978-1-60960-493-6</v>
      </c>
    </row>
    <row r="200" spans="1:14">
      <c r="A200" s="47">
        <v>199</v>
      </c>
      <c r="B200" s="47" t="s">
        <v>571</v>
      </c>
      <c r="C200" s="47" t="s">
        <v>4640</v>
      </c>
      <c r="D200" s="48" t="s">
        <v>500</v>
      </c>
      <c r="E200" s="48" t="s">
        <v>4707</v>
      </c>
      <c r="F200" s="47" t="s">
        <v>4708</v>
      </c>
      <c r="G200" s="47" t="s">
        <v>4709</v>
      </c>
      <c r="H200" s="47" t="s">
        <v>4710</v>
      </c>
      <c r="I200" s="47" t="s">
        <v>3987</v>
      </c>
      <c r="J200" s="47" t="s">
        <v>3987</v>
      </c>
      <c r="K200" s="47" t="s">
        <v>4711</v>
      </c>
      <c r="L200" s="47" t="s">
        <v>1233</v>
      </c>
      <c r="M200" s="47" t="s">
        <v>3989</v>
      </c>
      <c r="N200" s="33" t="str">
        <f>HYPERLINK("http://services.igi-global.com/resolvedoi/resolve.aspx?doi=10.4018/978-1-61692-797-4")</f>
        <v>http://services.igi-global.com/resolvedoi/resolve.aspx?doi=10.4018/978-1-61692-797-4</v>
      </c>
    </row>
    <row r="201" spans="1:14">
      <c r="A201" s="47">
        <v>200</v>
      </c>
      <c r="B201" s="47" t="s">
        <v>571</v>
      </c>
      <c r="C201" s="47" t="s">
        <v>4640</v>
      </c>
      <c r="D201" s="48" t="s">
        <v>500</v>
      </c>
      <c r="E201" s="48" t="s">
        <v>5055</v>
      </c>
      <c r="F201" s="47" t="s">
        <v>5056</v>
      </c>
      <c r="G201" s="47" t="s">
        <v>5057</v>
      </c>
      <c r="H201" s="47" t="s">
        <v>5058</v>
      </c>
      <c r="I201" s="47" t="s">
        <v>3987</v>
      </c>
      <c r="J201" s="47" t="s">
        <v>3987</v>
      </c>
      <c r="K201" s="47" t="s">
        <v>5059</v>
      </c>
      <c r="L201" s="47" t="s">
        <v>569</v>
      </c>
      <c r="M201" s="47" t="s">
        <v>3989</v>
      </c>
      <c r="N201" s="33" t="str">
        <f>HYPERLINK("http://services.igi-global.com/resolvedoi/resolve.aspx?doi=10.4018/978-1-60960-509-4")</f>
        <v>http://services.igi-global.com/resolvedoi/resolve.aspx?doi=10.4018/978-1-60960-509-4</v>
      </c>
    </row>
    <row r="202" spans="1:14">
      <c r="A202" s="47">
        <v>201</v>
      </c>
      <c r="B202" s="47" t="s">
        <v>571</v>
      </c>
      <c r="C202" s="47" t="s">
        <v>4640</v>
      </c>
      <c r="D202" s="48" t="s">
        <v>490</v>
      </c>
      <c r="E202" s="48" t="s">
        <v>5060</v>
      </c>
      <c r="F202" s="47" t="s">
        <v>5061</v>
      </c>
      <c r="G202" s="47" t="s">
        <v>5062</v>
      </c>
      <c r="H202" s="47" t="s">
        <v>5063</v>
      </c>
      <c r="I202" s="47" t="s">
        <v>3987</v>
      </c>
      <c r="J202" s="47" t="s">
        <v>3987</v>
      </c>
      <c r="K202" s="47" t="s">
        <v>5064</v>
      </c>
      <c r="L202" s="47" t="s">
        <v>569</v>
      </c>
      <c r="M202" s="47" t="s">
        <v>3989</v>
      </c>
      <c r="N202" s="33" t="str">
        <f>HYPERLINK("http://services.igi-global.com/resolvedoi/resolve.aspx?doi=10.4018/978-1-60960-215-4")</f>
        <v>http://services.igi-global.com/resolvedoi/resolve.aspx?doi=10.4018/978-1-60960-215-4</v>
      </c>
    </row>
    <row r="203" spans="1:14">
      <c r="A203" s="47">
        <v>202</v>
      </c>
      <c r="B203" s="47" t="s">
        <v>571</v>
      </c>
      <c r="C203" s="47" t="s">
        <v>4640</v>
      </c>
      <c r="D203" s="48" t="s">
        <v>493</v>
      </c>
      <c r="E203" s="48" t="s">
        <v>4717</v>
      </c>
      <c r="F203" s="47" t="s">
        <v>4718</v>
      </c>
      <c r="G203" s="47" t="s">
        <v>4719</v>
      </c>
      <c r="H203" s="47" t="s">
        <v>4720</v>
      </c>
      <c r="I203" s="47" t="s">
        <v>3987</v>
      </c>
      <c r="J203" s="47" t="s">
        <v>3987</v>
      </c>
      <c r="K203" s="47" t="s">
        <v>4694</v>
      </c>
      <c r="L203" s="47" t="s">
        <v>569</v>
      </c>
      <c r="M203" s="47" t="s">
        <v>3989</v>
      </c>
      <c r="N203" s="33" t="str">
        <f>HYPERLINK("http://services.igi-global.com/resolvedoi/resolve.aspx?doi=10.4018/978-1-60566-794-2")</f>
        <v>http://services.igi-global.com/resolvedoi/resolve.aspx?doi=10.4018/978-1-60566-794-2</v>
      </c>
    </row>
    <row r="204" spans="1:14">
      <c r="A204" s="47">
        <v>203</v>
      </c>
      <c r="B204" s="47" t="s">
        <v>571</v>
      </c>
      <c r="C204" s="47" t="s">
        <v>4640</v>
      </c>
      <c r="D204" s="48" t="s">
        <v>4721</v>
      </c>
      <c r="E204" s="48" t="s">
        <v>4722</v>
      </c>
      <c r="F204" s="47" t="s">
        <v>4723</v>
      </c>
      <c r="G204" s="47" t="s">
        <v>4724</v>
      </c>
      <c r="H204" s="47" t="s">
        <v>4725</v>
      </c>
      <c r="I204" s="47" t="s">
        <v>3987</v>
      </c>
      <c r="J204" s="47" t="s">
        <v>3987</v>
      </c>
      <c r="K204" s="47" t="s">
        <v>3919</v>
      </c>
      <c r="L204" s="47" t="s">
        <v>569</v>
      </c>
      <c r="M204" s="47" t="s">
        <v>3989</v>
      </c>
      <c r="N204" s="33" t="str">
        <f>HYPERLINK("http://services.igi-global.com/resolvedoi/resolve.aspx?doi=10.4018/978-1-60960-086-0")</f>
        <v>http://services.igi-global.com/resolvedoi/resolve.aspx?doi=10.4018/978-1-60960-086-0</v>
      </c>
    </row>
    <row r="205" spans="1:14">
      <c r="A205" s="47">
        <v>204</v>
      </c>
      <c r="B205" s="47" t="s">
        <v>571</v>
      </c>
      <c r="C205" s="47" t="s">
        <v>4640</v>
      </c>
      <c r="D205" s="48" t="s">
        <v>513</v>
      </c>
      <c r="E205" s="48" t="s">
        <v>4726</v>
      </c>
      <c r="F205" s="47" t="s">
        <v>4727</v>
      </c>
      <c r="G205" s="47" t="s">
        <v>4728</v>
      </c>
      <c r="H205" s="47" t="s">
        <v>4729</v>
      </c>
      <c r="I205" s="47" t="s">
        <v>3987</v>
      </c>
      <c r="J205" s="47" t="s">
        <v>3987</v>
      </c>
      <c r="K205" s="47" t="s">
        <v>4730</v>
      </c>
      <c r="L205" s="47" t="s">
        <v>569</v>
      </c>
      <c r="M205" s="47" t="s">
        <v>3989</v>
      </c>
      <c r="N205" s="33" t="str">
        <f>HYPERLINK("http://services.igi-global.com/resolvedoi/resolve.aspx?doi=10.4018/978-1-61520-837-1")</f>
        <v>http://services.igi-global.com/resolvedoi/resolve.aspx?doi=10.4018/978-1-61520-837-1</v>
      </c>
    </row>
    <row r="206" spans="1:14">
      <c r="A206" s="47">
        <v>205</v>
      </c>
      <c r="B206" s="47" t="s">
        <v>571</v>
      </c>
      <c r="C206" s="47" t="s">
        <v>4640</v>
      </c>
      <c r="D206" s="48" t="s">
        <v>5065</v>
      </c>
      <c r="E206" s="48" t="s">
        <v>5066</v>
      </c>
      <c r="F206" s="47" t="s">
        <v>5067</v>
      </c>
      <c r="G206" s="47" t="s">
        <v>5068</v>
      </c>
      <c r="H206" s="47" t="s">
        <v>5069</v>
      </c>
      <c r="I206" s="47" t="s">
        <v>3987</v>
      </c>
      <c r="J206" s="47" t="s">
        <v>3987</v>
      </c>
      <c r="K206" s="47" t="s">
        <v>5070</v>
      </c>
      <c r="L206" s="47" t="s">
        <v>1233</v>
      </c>
      <c r="M206" s="47" t="s">
        <v>3989</v>
      </c>
      <c r="N206" s="33" t="str">
        <f>HYPERLINK("http://services.igi-global.com/resolvedoi/resolve.aspx?doi=10.4018/978-1-60960-105-8")</f>
        <v>http://services.igi-global.com/resolvedoi/resolve.aspx?doi=10.4018/978-1-60960-105-8</v>
      </c>
    </row>
    <row r="207" spans="1:14">
      <c r="A207" s="47">
        <v>206</v>
      </c>
      <c r="B207" s="47" t="s">
        <v>571</v>
      </c>
      <c r="C207" s="47" t="s">
        <v>4640</v>
      </c>
      <c r="D207" s="48" t="s">
        <v>4656</v>
      </c>
      <c r="E207" s="48" t="s">
        <v>4657</v>
      </c>
      <c r="F207" s="47" t="s">
        <v>4658</v>
      </c>
      <c r="G207" s="47" t="s">
        <v>4659</v>
      </c>
      <c r="H207" s="47" t="s">
        <v>4660</v>
      </c>
      <c r="I207" s="47" t="s">
        <v>3987</v>
      </c>
      <c r="J207" s="47" t="s">
        <v>3987</v>
      </c>
      <c r="K207" s="47" t="s">
        <v>4661</v>
      </c>
      <c r="L207" s="47" t="s">
        <v>569</v>
      </c>
      <c r="M207" s="47" t="s">
        <v>4007</v>
      </c>
      <c r="N207" s="33" t="str">
        <f>HYPERLINK("http://services.igi-global.com/resolvedoi/resolve.aspx?doi=10.4018/978-1-60566-850-5")</f>
        <v>http://services.igi-global.com/resolvedoi/resolve.aspx?doi=10.4018/978-1-60566-850-5</v>
      </c>
    </row>
    <row r="208" spans="1:14">
      <c r="A208" s="47">
        <v>207</v>
      </c>
      <c r="B208" s="47" t="s">
        <v>571</v>
      </c>
      <c r="C208" s="47" t="s">
        <v>4640</v>
      </c>
      <c r="D208" s="48" t="s">
        <v>4662</v>
      </c>
      <c r="E208" s="48" t="s">
        <v>4663</v>
      </c>
      <c r="F208" s="47" t="s">
        <v>4664</v>
      </c>
      <c r="G208" s="47" t="s">
        <v>4665</v>
      </c>
      <c r="H208" s="47" t="s">
        <v>4666</v>
      </c>
      <c r="I208" s="47" t="s">
        <v>3987</v>
      </c>
      <c r="J208" s="47" t="s">
        <v>3987</v>
      </c>
      <c r="K208" s="47" t="s">
        <v>4667</v>
      </c>
      <c r="L208" s="47" t="s">
        <v>569</v>
      </c>
      <c r="M208" s="47" t="s">
        <v>4007</v>
      </c>
      <c r="N208" s="33" t="str">
        <f>HYPERLINK("http://services.igi-global.com/resolvedoi/resolve.aspx?doi=10.4018/978-1-60566-750-8")</f>
        <v>http://services.igi-global.com/resolvedoi/resolve.aspx?doi=10.4018/978-1-60566-750-8</v>
      </c>
    </row>
    <row r="209" spans="1:14">
      <c r="A209" s="47">
        <v>208</v>
      </c>
      <c r="B209" s="47" t="s">
        <v>571</v>
      </c>
      <c r="C209" s="47" t="s">
        <v>4640</v>
      </c>
      <c r="D209" s="48" t="s">
        <v>4672</v>
      </c>
      <c r="E209" s="48" t="s">
        <v>4673</v>
      </c>
      <c r="F209" s="47" t="s">
        <v>4674</v>
      </c>
      <c r="G209" s="47" t="s">
        <v>4675</v>
      </c>
      <c r="H209" s="47" t="s">
        <v>4676</v>
      </c>
      <c r="I209" s="47" t="s">
        <v>3987</v>
      </c>
      <c r="J209" s="47" t="s">
        <v>3987</v>
      </c>
      <c r="K209" s="47" t="s">
        <v>4677</v>
      </c>
      <c r="L209" s="47" t="s">
        <v>1233</v>
      </c>
      <c r="M209" s="47" t="s">
        <v>4007</v>
      </c>
      <c r="N209" s="33" t="str">
        <f>HYPERLINK("http://services.igi-global.com/resolvedoi/resolve.aspx?doi=10.4018/978-1-60566-800-0")</f>
        <v>http://services.igi-global.com/resolvedoi/resolve.aspx?doi=10.4018/978-1-60566-800-0</v>
      </c>
    </row>
    <row r="210" spans="1:14">
      <c r="A210" s="47">
        <v>209</v>
      </c>
      <c r="B210" s="47" t="s">
        <v>571</v>
      </c>
      <c r="C210" s="47" t="s">
        <v>4640</v>
      </c>
      <c r="D210" s="48" t="s">
        <v>4684</v>
      </c>
      <c r="E210" s="48" t="s">
        <v>4685</v>
      </c>
      <c r="F210" s="47" t="s">
        <v>4686</v>
      </c>
      <c r="G210" s="47" t="s">
        <v>4687</v>
      </c>
      <c r="H210" s="47" t="s">
        <v>4688</v>
      </c>
      <c r="I210" s="47" t="s">
        <v>3987</v>
      </c>
      <c r="J210" s="47" t="s">
        <v>3987</v>
      </c>
      <c r="K210" s="47" t="s">
        <v>4689</v>
      </c>
      <c r="L210" s="47" t="s">
        <v>569</v>
      </c>
      <c r="M210" s="47" t="s">
        <v>4007</v>
      </c>
      <c r="N210" s="33" t="str">
        <f>HYPERLINK("http://services.igi-global.com/resolvedoi/resolve.aspx?doi=10.4018/978-1-61520-807-4")</f>
        <v>http://services.igi-global.com/resolvedoi/resolve.aspx?doi=10.4018/978-1-61520-807-4</v>
      </c>
    </row>
    <row r="211" spans="1:14">
      <c r="A211" s="47">
        <v>210</v>
      </c>
      <c r="B211" s="47" t="s">
        <v>571</v>
      </c>
      <c r="C211" s="47" t="s">
        <v>4640</v>
      </c>
      <c r="D211" s="48" t="s">
        <v>4695</v>
      </c>
      <c r="E211" s="48" t="s">
        <v>4696</v>
      </c>
      <c r="F211" s="47" t="s">
        <v>4697</v>
      </c>
      <c r="G211" s="47" t="s">
        <v>4698</v>
      </c>
      <c r="H211" s="47" t="s">
        <v>4699</v>
      </c>
      <c r="I211" s="47" t="s">
        <v>3987</v>
      </c>
      <c r="J211" s="47" t="s">
        <v>3987</v>
      </c>
      <c r="K211" s="47" t="s">
        <v>4700</v>
      </c>
      <c r="L211" s="47" t="s">
        <v>569</v>
      </c>
      <c r="M211" s="47" t="s">
        <v>4007</v>
      </c>
      <c r="N211" s="33" t="str">
        <f>HYPERLINK("http://services.igi-global.com/resolvedoi/resolve.aspx?doi=10.4018/978-1-60566-928-1")</f>
        <v>http://services.igi-global.com/resolvedoi/resolve.aspx?doi=10.4018/978-1-60566-928-1</v>
      </c>
    </row>
    <row r="212" spans="1:14">
      <c r="A212" s="47">
        <v>211</v>
      </c>
      <c r="B212" s="47" t="s">
        <v>571</v>
      </c>
      <c r="C212" s="47" t="s">
        <v>4640</v>
      </c>
      <c r="D212" s="48" t="s">
        <v>4701</v>
      </c>
      <c r="E212" s="48" t="s">
        <v>4702</v>
      </c>
      <c r="F212" s="47" t="s">
        <v>4703</v>
      </c>
      <c r="G212" s="47" t="s">
        <v>4704</v>
      </c>
      <c r="H212" s="47" t="s">
        <v>4705</v>
      </c>
      <c r="I212" s="47" t="s">
        <v>3987</v>
      </c>
      <c r="J212" s="47" t="s">
        <v>3987</v>
      </c>
      <c r="K212" s="47" t="s">
        <v>4706</v>
      </c>
      <c r="L212" s="47" t="s">
        <v>569</v>
      </c>
      <c r="M212" s="47" t="s">
        <v>4007</v>
      </c>
      <c r="N212" s="33" t="str">
        <f>HYPERLINK("http://services.igi-global.com/resolvedoi/resolve.aspx?doi=10.4018/978-1-61520-849-4")</f>
        <v>http://services.igi-global.com/resolvedoi/resolve.aspx?doi=10.4018/978-1-61520-849-4</v>
      </c>
    </row>
    <row r="213" spans="1:14">
      <c r="A213" s="51">
        <v>212</v>
      </c>
      <c r="B213" s="51" t="s">
        <v>571</v>
      </c>
      <c r="C213" s="51" t="s">
        <v>4640</v>
      </c>
      <c r="D213" s="52" t="s">
        <v>4488</v>
      </c>
      <c r="E213" s="52" t="s">
        <v>4712</v>
      </c>
      <c r="F213" s="51" t="s">
        <v>4713</v>
      </c>
      <c r="G213" s="51" t="s">
        <v>4714</v>
      </c>
      <c r="H213" s="51" t="s">
        <v>4715</v>
      </c>
      <c r="I213" s="51" t="s">
        <v>3987</v>
      </c>
      <c r="J213" s="51" t="s">
        <v>3987</v>
      </c>
      <c r="K213" s="51" t="s">
        <v>4716</v>
      </c>
      <c r="L213" s="51" t="s">
        <v>569</v>
      </c>
      <c r="M213" s="51" t="s">
        <v>4033</v>
      </c>
      <c r="N213" s="43" t="str">
        <f>HYPERLINK("http://services.igi-global.com/resolvedoi/resolve.aspx?doi=10.4018/978-1-60566-178-0")</f>
        <v>http://services.igi-global.com/resolvedoi/resolve.aspx?doi=10.4018/978-1-60566-178-0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228"/>
  <sheetViews>
    <sheetView topLeftCell="C1" workbookViewId="0">
      <selection activeCell="I11" sqref="I11"/>
    </sheetView>
  </sheetViews>
  <sheetFormatPr defaultColWidth="8.88671875" defaultRowHeight="16.350000000000001" customHeight="1"/>
  <cols>
    <col min="1" max="1" width="4.77734375" style="162" hidden="1" customWidth="1"/>
    <col min="2" max="2" width="27.21875" style="162" hidden="1" customWidth="1"/>
    <col min="3" max="3" width="24.6640625" style="162" customWidth="1"/>
    <col min="4" max="4" width="13.33203125" style="162" hidden="1" customWidth="1"/>
    <col min="5" max="5" width="11.33203125" style="162" hidden="1" customWidth="1"/>
    <col min="6" max="6" width="62.77734375" style="166" bestFit="1" customWidth="1"/>
    <col min="7" max="7" width="4.77734375" style="162" hidden="1" customWidth="1"/>
    <col min="8" max="8" width="5.21875" style="162" hidden="1" customWidth="1"/>
    <col min="9" max="9" width="36.88671875" style="162" bestFit="1" customWidth="1"/>
    <col min="10" max="10" width="29.33203125" style="162" hidden="1" customWidth="1"/>
    <col min="11" max="11" width="8.77734375" style="162" customWidth="1"/>
    <col min="12" max="12" width="9.6640625" style="162" hidden="1" customWidth="1"/>
    <col min="13" max="13" width="79.33203125" style="163" bestFit="1" customWidth="1"/>
    <col min="14" max="19" width="8.88671875" style="163"/>
    <col min="20" max="16384" width="8.88671875" style="162"/>
  </cols>
  <sheetData>
    <row r="1" spans="1:19" s="165" customFormat="1" ht="16.350000000000001" customHeight="1">
      <c r="A1" s="169" t="s">
        <v>9176</v>
      </c>
      <c r="B1" s="170" t="s">
        <v>9129</v>
      </c>
      <c r="C1" s="170" t="s">
        <v>9130</v>
      </c>
      <c r="D1" s="171" t="s">
        <v>9177</v>
      </c>
      <c r="E1" s="171" t="s">
        <v>9178</v>
      </c>
      <c r="F1" s="172" t="s">
        <v>9131</v>
      </c>
      <c r="G1" s="170" t="s">
        <v>9132</v>
      </c>
      <c r="H1" s="170" t="s">
        <v>9133</v>
      </c>
      <c r="I1" s="170" t="s">
        <v>9134</v>
      </c>
      <c r="J1" s="170" t="s">
        <v>9135</v>
      </c>
      <c r="K1" s="170" t="s">
        <v>9136</v>
      </c>
      <c r="L1" s="170" t="s">
        <v>9137</v>
      </c>
      <c r="M1" s="173" t="s">
        <v>9179</v>
      </c>
      <c r="N1" s="164"/>
      <c r="O1" s="164"/>
      <c r="P1" s="164"/>
      <c r="Q1" s="164"/>
      <c r="R1" s="164"/>
      <c r="S1" s="164"/>
    </row>
    <row r="2" spans="1:19" ht="16.350000000000001" customHeight="1">
      <c r="A2" s="167">
        <v>151</v>
      </c>
      <c r="B2" s="160" t="s">
        <v>5413</v>
      </c>
      <c r="C2" s="160" t="s">
        <v>9138</v>
      </c>
      <c r="D2" s="161">
        <v>9781799820956</v>
      </c>
      <c r="E2" s="161">
        <v>9781799820949</v>
      </c>
      <c r="F2" s="160" t="s">
        <v>8915</v>
      </c>
      <c r="G2" s="160">
        <v>1</v>
      </c>
      <c r="H2" s="160" t="s">
        <v>6518</v>
      </c>
      <c r="I2" s="160" t="s">
        <v>8916</v>
      </c>
      <c r="J2" s="160" t="s">
        <v>561</v>
      </c>
      <c r="K2" s="160">
        <v>2020</v>
      </c>
      <c r="L2" s="160" t="s">
        <v>9139</v>
      </c>
      <c r="M2" s="168" t="s">
        <v>8917</v>
      </c>
      <c r="N2" s="162"/>
      <c r="O2" s="162"/>
      <c r="P2" s="162"/>
      <c r="Q2" s="162"/>
      <c r="R2" s="162"/>
      <c r="S2" s="162"/>
    </row>
    <row r="3" spans="1:19" ht="16.350000000000001" customHeight="1">
      <c r="A3" s="167">
        <v>134</v>
      </c>
      <c r="B3" s="160" t="s">
        <v>5413</v>
      </c>
      <c r="C3" s="160" t="s">
        <v>9140</v>
      </c>
      <c r="D3" s="161">
        <v>9781466699939</v>
      </c>
      <c r="E3" s="161">
        <v>9781466699922</v>
      </c>
      <c r="F3" s="160" t="s">
        <v>8870</v>
      </c>
      <c r="G3" s="160">
        <v>1</v>
      </c>
      <c r="H3" s="160" t="s">
        <v>6518</v>
      </c>
      <c r="I3" s="160" t="s">
        <v>6656</v>
      </c>
      <c r="J3" s="160" t="s">
        <v>561</v>
      </c>
      <c r="K3" s="160">
        <v>2016</v>
      </c>
      <c r="L3" s="160" t="s">
        <v>9139</v>
      </c>
      <c r="M3" s="168" t="s">
        <v>8871</v>
      </c>
      <c r="N3" s="162"/>
      <c r="O3" s="162"/>
      <c r="P3" s="162"/>
      <c r="Q3" s="162"/>
      <c r="R3" s="162"/>
      <c r="S3" s="162"/>
    </row>
    <row r="4" spans="1:19" ht="16.350000000000001" customHeight="1">
      <c r="A4" s="167">
        <v>137</v>
      </c>
      <c r="B4" s="160" t="s">
        <v>5413</v>
      </c>
      <c r="C4" s="160" t="s">
        <v>9140</v>
      </c>
      <c r="D4" s="161">
        <v>9781522534815</v>
      </c>
      <c r="E4" s="161">
        <v>9781522534808</v>
      </c>
      <c r="F4" s="160" t="s">
        <v>8876</v>
      </c>
      <c r="G4" s="160">
        <v>1</v>
      </c>
      <c r="H4" s="160" t="s">
        <v>6518</v>
      </c>
      <c r="I4" s="160" t="s">
        <v>8877</v>
      </c>
      <c r="J4" s="160" t="s">
        <v>561</v>
      </c>
      <c r="K4" s="160">
        <v>2018</v>
      </c>
      <c r="L4" s="160" t="s">
        <v>9139</v>
      </c>
      <c r="M4" s="168" t="s">
        <v>8878</v>
      </c>
      <c r="N4" s="162"/>
      <c r="O4" s="162"/>
      <c r="P4" s="162"/>
      <c r="Q4" s="162"/>
      <c r="R4" s="162"/>
      <c r="S4" s="162"/>
    </row>
    <row r="5" spans="1:19" ht="16.350000000000001" customHeight="1">
      <c r="A5" s="167">
        <v>145</v>
      </c>
      <c r="B5" s="160" t="s">
        <v>5413</v>
      </c>
      <c r="C5" s="160" t="s">
        <v>9140</v>
      </c>
      <c r="D5" s="161">
        <v>9781522598190</v>
      </c>
      <c r="E5" s="161">
        <v>9781522598183</v>
      </c>
      <c r="F5" s="160" t="s">
        <v>8898</v>
      </c>
      <c r="G5" s="160">
        <v>1</v>
      </c>
      <c r="H5" s="160" t="s">
        <v>6518</v>
      </c>
      <c r="I5" s="160" t="s">
        <v>8899</v>
      </c>
      <c r="J5" s="160" t="s">
        <v>561</v>
      </c>
      <c r="K5" s="160">
        <v>2020</v>
      </c>
      <c r="L5" s="160" t="s">
        <v>9139</v>
      </c>
      <c r="M5" s="168" t="s">
        <v>8900</v>
      </c>
      <c r="N5" s="162"/>
      <c r="O5" s="162"/>
      <c r="P5" s="162"/>
      <c r="Q5" s="162"/>
      <c r="R5" s="162"/>
      <c r="S5" s="162"/>
    </row>
    <row r="6" spans="1:19" ht="16.350000000000001" customHeight="1">
      <c r="A6" s="167">
        <v>148</v>
      </c>
      <c r="B6" s="160" t="s">
        <v>5413</v>
      </c>
      <c r="C6" s="160" t="s">
        <v>9140</v>
      </c>
      <c r="D6" s="161">
        <v>9781799819387</v>
      </c>
      <c r="E6" s="161">
        <v>9781799819370</v>
      </c>
      <c r="F6" s="160" t="s">
        <v>8907</v>
      </c>
      <c r="G6" s="160">
        <v>1</v>
      </c>
      <c r="H6" s="160" t="s">
        <v>6518</v>
      </c>
      <c r="I6" s="160" t="s">
        <v>8908</v>
      </c>
      <c r="J6" s="160" t="s">
        <v>561</v>
      </c>
      <c r="K6" s="160">
        <v>2020</v>
      </c>
      <c r="L6" s="160" t="s">
        <v>9139</v>
      </c>
      <c r="M6" s="168" t="s">
        <v>8909</v>
      </c>
      <c r="N6" s="162"/>
      <c r="O6" s="162"/>
      <c r="P6" s="162"/>
      <c r="Q6" s="162"/>
      <c r="R6" s="162"/>
      <c r="S6" s="162"/>
    </row>
    <row r="7" spans="1:19" ht="16.350000000000001" customHeight="1">
      <c r="A7" s="167">
        <v>158</v>
      </c>
      <c r="B7" s="160" t="s">
        <v>5413</v>
      </c>
      <c r="C7" s="160" t="s">
        <v>9141</v>
      </c>
      <c r="D7" s="161">
        <v>9781799837428</v>
      </c>
      <c r="E7" s="161">
        <v>9781799837411</v>
      </c>
      <c r="F7" s="160" t="s">
        <v>8936</v>
      </c>
      <c r="G7" s="160">
        <v>1</v>
      </c>
      <c r="H7" s="160" t="s">
        <v>6518</v>
      </c>
      <c r="I7" s="160" t="s">
        <v>8937</v>
      </c>
      <c r="J7" s="160" t="s">
        <v>561</v>
      </c>
      <c r="K7" s="160">
        <v>2020</v>
      </c>
      <c r="L7" s="160" t="s">
        <v>9139</v>
      </c>
      <c r="M7" s="168" t="s">
        <v>8938</v>
      </c>
      <c r="N7" s="162"/>
      <c r="O7" s="162"/>
      <c r="P7" s="162"/>
      <c r="Q7" s="162"/>
      <c r="R7" s="162"/>
      <c r="S7" s="162"/>
    </row>
    <row r="8" spans="1:19" ht="16.350000000000001" customHeight="1">
      <c r="A8" s="167">
        <v>136</v>
      </c>
      <c r="B8" s="160" t="s">
        <v>5413</v>
      </c>
      <c r="C8" s="160" t="s">
        <v>9142</v>
      </c>
      <c r="D8" s="161">
        <v>9781522501411</v>
      </c>
      <c r="E8" s="161">
        <v>9781522501404</v>
      </c>
      <c r="F8" s="160" t="s">
        <v>8874</v>
      </c>
      <c r="G8" s="160">
        <v>1</v>
      </c>
      <c r="H8" s="160" t="s">
        <v>6518</v>
      </c>
      <c r="I8" s="160" t="s">
        <v>6722</v>
      </c>
      <c r="J8" s="160" t="s">
        <v>561</v>
      </c>
      <c r="K8" s="160">
        <v>2016</v>
      </c>
      <c r="L8" s="160" t="s">
        <v>9139</v>
      </c>
      <c r="M8" s="168" t="s">
        <v>8875</v>
      </c>
      <c r="N8" s="162"/>
      <c r="O8" s="162"/>
      <c r="P8" s="162"/>
      <c r="Q8" s="162"/>
      <c r="R8" s="162"/>
      <c r="S8" s="162"/>
    </row>
    <row r="9" spans="1:19" ht="16.350000000000001" customHeight="1">
      <c r="A9" s="167">
        <v>138</v>
      </c>
      <c r="B9" s="160" t="s">
        <v>5413</v>
      </c>
      <c r="C9" s="160" t="s">
        <v>9142</v>
      </c>
      <c r="D9" s="161">
        <v>9781522580676</v>
      </c>
      <c r="E9" s="161">
        <v>9781522580669</v>
      </c>
      <c r="F9" s="160" t="s">
        <v>8879</v>
      </c>
      <c r="G9" s="160">
        <v>1</v>
      </c>
      <c r="H9" s="160" t="s">
        <v>6518</v>
      </c>
      <c r="I9" s="160" t="s">
        <v>8880</v>
      </c>
      <c r="J9" s="160" t="s">
        <v>561</v>
      </c>
      <c r="K9" s="160">
        <v>2019</v>
      </c>
      <c r="L9" s="160" t="s">
        <v>9139</v>
      </c>
      <c r="M9" s="168" t="s">
        <v>8881</v>
      </c>
      <c r="N9" s="162"/>
      <c r="O9" s="162"/>
      <c r="P9" s="162"/>
      <c r="Q9" s="162"/>
      <c r="R9" s="162"/>
      <c r="S9" s="162"/>
    </row>
    <row r="10" spans="1:19" ht="16.350000000000001" customHeight="1">
      <c r="A10" s="167">
        <v>139</v>
      </c>
      <c r="B10" s="160" t="s">
        <v>5413</v>
      </c>
      <c r="C10" s="160" t="s">
        <v>9142</v>
      </c>
      <c r="D10" s="161">
        <v>9781522571322</v>
      </c>
      <c r="E10" s="161">
        <v>9781522571315</v>
      </c>
      <c r="F10" s="160" t="s">
        <v>8882</v>
      </c>
      <c r="G10" s="160">
        <v>1</v>
      </c>
      <c r="H10" s="160" t="s">
        <v>6518</v>
      </c>
      <c r="I10" s="160" t="s">
        <v>8883</v>
      </c>
      <c r="J10" s="160" t="s">
        <v>561</v>
      </c>
      <c r="K10" s="160">
        <v>2019</v>
      </c>
      <c r="L10" s="160" t="s">
        <v>9139</v>
      </c>
      <c r="M10" s="168" t="s">
        <v>8884</v>
      </c>
      <c r="N10" s="162"/>
      <c r="O10" s="162"/>
      <c r="P10" s="162"/>
      <c r="Q10" s="162"/>
      <c r="R10" s="162"/>
      <c r="S10" s="162"/>
    </row>
    <row r="11" spans="1:19" ht="16.350000000000001" customHeight="1">
      <c r="A11" s="167">
        <v>142</v>
      </c>
      <c r="B11" s="160" t="s">
        <v>5413</v>
      </c>
      <c r="C11" s="160" t="s">
        <v>9142</v>
      </c>
      <c r="D11" s="161">
        <v>9781522596530</v>
      </c>
      <c r="E11" s="161">
        <v>9781522596516</v>
      </c>
      <c r="F11" s="160" t="s">
        <v>8891</v>
      </c>
      <c r="G11" s="160">
        <v>1</v>
      </c>
      <c r="H11" s="160" t="s">
        <v>6518</v>
      </c>
      <c r="I11" s="160" t="s">
        <v>8412</v>
      </c>
      <c r="J11" s="160" t="s">
        <v>1233</v>
      </c>
      <c r="K11" s="160">
        <v>2019</v>
      </c>
      <c r="L11" s="160" t="s">
        <v>9139</v>
      </c>
      <c r="M11" s="168" t="s">
        <v>8892</v>
      </c>
      <c r="N11" s="162"/>
      <c r="O11" s="162"/>
      <c r="P11" s="162"/>
      <c r="Q11" s="162"/>
      <c r="R11" s="162"/>
      <c r="S11" s="162"/>
    </row>
    <row r="12" spans="1:19" ht="16.350000000000001" customHeight="1">
      <c r="A12" s="167">
        <v>144</v>
      </c>
      <c r="B12" s="160" t="s">
        <v>5413</v>
      </c>
      <c r="C12" s="160" t="s">
        <v>9142</v>
      </c>
      <c r="D12" s="161">
        <v>9781799803270</v>
      </c>
      <c r="E12" s="161">
        <v>9781799803263</v>
      </c>
      <c r="F12" s="160" t="s">
        <v>8895</v>
      </c>
      <c r="G12" s="160">
        <v>1</v>
      </c>
      <c r="H12" s="160" t="s">
        <v>6518</v>
      </c>
      <c r="I12" s="160" t="s">
        <v>8896</v>
      </c>
      <c r="J12" s="160" t="s">
        <v>561</v>
      </c>
      <c r="K12" s="160">
        <v>2020</v>
      </c>
      <c r="L12" s="160" t="s">
        <v>9139</v>
      </c>
      <c r="M12" s="168" t="s">
        <v>8897</v>
      </c>
      <c r="N12" s="162"/>
      <c r="O12" s="162"/>
      <c r="P12" s="162"/>
      <c r="Q12" s="162"/>
      <c r="R12" s="162"/>
      <c r="S12" s="162"/>
    </row>
    <row r="13" spans="1:19" ht="16.350000000000001" customHeight="1">
      <c r="A13" s="167">
        <v>149</v>
      </c>
      <c r="B13" s="160" t="s">
        <v>5413</v>
      </c>
      <c r="C13" s="160" t="s">
        <v>9142</v>
      </c>
      <c r="D13" s="161">
        <v>9781799813729</v>
      </c>
      <c r="E13" s="161">
        <v>9781799813712</v>
      </c>
      <c r="F13" s="160" t="s">
        <v>8910</v>
      </c>
      <c r="G13" s="160">
        <v>1</v>
      </c>
      <c r="H13" s="160" t="s">
        <v>6518</v>
      </c>
      <c r="I13" s="160" t="s">
        <v>6699</v>
      </c>
      <c r="J13" s="160" t="s">
        <v>561</v>
      </c>
      <c r="K13" s="160">
        <v>2020</v>
      </c>
      <c r="L13" s="160" t="s">
        <v>9139</v>
      </c>
      <c r="M13" s="168" t="s">
        <v>8911</v>
      </c>
      <c r="N13" s="162"/>
      <c r="O13" s="162"/>
      <c r="P13" s="162"/>
      <c r="Q13" s="162"/>
      <c r="R13" s="162"/>
      <c r="S13" s="162"/>
    </row>
    <row r="14" spans="1:19" ht="16.350000000000001" customHeight="1">
      <c r="A14" s="167">
        <v>154</v>
      </c>
      <c r="B14" s="160" t="s">
        <v>5413</v>
      </c>
      <c r="C14" s="160" t="s">
        <v>9142</v>
      </c>
      <c r="D14" s="161">
        <v>9781799834571</v>
      </c>
      <c r="E14" s="161">
        <v>9781799834564</v>
      </c>
      <c r="F14" s="160" t="s">
        <v>8924</v>
      </c>
      <c r="G14" s="160">
        <v>1</v>
      </c>
      <c r="H14" s="160" t="s">
        <v>6518</v>
      </c>
      <c r="I14" s="160" t="s">
        <v>8925</v>
      </c>
      <c r="J14" s="160" t="s">
        <v>561</v>
      </c>
      <c r="K14" s="160">
        <v>2021</v>
      </c>
      <c r="L14" s="160" t="s">
        <v>9139</v>
      </c>
      <c r="M14" s="168" t="s">
        <v>8926</v>
      </c>
      <c r="N14" s="162"/>
      <c r="O14" s="162"/>
      <c r="P14" s="162"/>
      <c r="Q14" s="162"/>
      <c r="R14" s="162"/>
      <c r="S14" s="162"/>
    </row>
    <row r="15" spans="1:19" ht="16.350000000000001" customHeight="1">
      <c r="A15" s="167">
        <v>155</v>
      </c>
      <c r="B15" s="160" t="s">
        <v>5413</v>
      </c>
      <c r="C15" s="160" t="s">
        <v>9142</v>
      </c>
      <c r="D15" s="161">
        <v>9781799832751</v>
      </c>
      <c r="E15" s="161">
        <v>9781799832744</v>
      </c>
      <c r="F15" s="160" t="s">
        <v>8927</v>
      </c>
      <c r="G15" s="160">
        <v>1</v>
      </c>
      <c r="H15" s="160" t="s">
        <v>6518</v>
      </c>
      <c r="I15" s="160" t="s">
        <v>8928</v>
      </c>
      <c r="J15" s="160" t="s">
        <v>561</v>
      </c>
      <c r="K15" s="160">
        <v>2020</v>
      </c>
      <c r="L15" s="160" t="s">
        <v>9139</v>
      </c>
      <c r="M15" s="168" t="s">
        <v>8929</v>
      </c>
      <c r="N15" s="162"/>
      <c r="O15" s="162"/>
      <c r="P15" s="162"/>
      <c r="Q15" s="162"/>
      <c r="R15" s="162"/>
      <c r="S15" s="162"/>
    </row>
    <row r="16" spans="1:19" ht="16.350000000000001" customHeight="1">
      <c r="A16" s="167">
        <v>156</v>
      </c>
      <c r="B16" s="160" t="s">
        <v>5413</v>
      </c>
      <c r="C16" s="160" t="s">
        <v>9142</v>
      </c>
      <c r="D16" s="161">
        <v>9781799835929</v>
      </c>
      <c r="E16" s="161">
        <v>9781799835912</v>
      </c>
      <c r="F16" s="160" t="s">
        <v>8930</v>
      </c>
      <c r="G16" s="160">
        <v>1</v>
      </c>
      <c r="H16" s="160" t="s">
        <v>6518</v>
      </c>
      <c r="I16" s="160" t="s">
        <v>8931</v>
      </c>
      <c r="J16" s="160" t="s">
        <v>561</v>
      </c>
      <c r="K16" s="160">
        <v>2020</v>
      </c>
      <c r="L16" s="160" t="s">
        <v>9139</v>
      </c>
      <c r="M16" s="168" t="s">
        <v>8932</v>
      </c>
      <c r="N16" s="162"/>
      <c r="O16" s="162"/>
      <c r="P16" s="162"/>
      <c r="Q16" s="162"/>
      <c r="R16" s="162"/>
      <c r="S16" s="162"/>
    </row>
    <row r="17" spans="1:19" ht="16.350000000000001" customHeight="1">
      <c r="A17" s="167">
        <v>161</v>
      </c>
      <c r="B17" s="160" t="s">
        <v>5413</v>
      </c>
      <c r="C17" s="160" t="s">
        <v>9143</v>
      </c>
      <c r="D17" s="161">
        <v>9781614999669</v>
      </c>
      <c r="E17" s="161">
        <v>9781614999652</v>
      </c>
      <c r="F17" s="160" t="s">
        <v>8945</v>
      </c>
      <c r="G17" s="160">
        <v>1</v>
      </c>
      <c r="H17" s="160" t="s">
        <v>8946</v>
      </c>
      <c r="I17" s="160" t="s">
        <v>8947</v>
      </c>
      <c r="J17" s="160" t="s">
        <v>7826</v>
      </c>
      <c r="K17" s="160">
        <v>2019</v>
      </c>
      <c r="L17" s="160" t="s">
        <v>9139</v>
      </c>
      <c r="M17" s="168" t="s">
        <v>8948</v>
      </c>
      <c r="N17" s="162"/>
      <c r="O17" s="162"/>
      <c r="P17" s="162"/>
      <c r="Q17" s="162"/>
      <c r="R17" s="162"/>
      <c r="S17" s="162"/>
    </row>
    <row r="18" spans="1:19" ht="16.350000000000001" customHeight="1">
      <c r="A18" s="167">
        <v>141</v>
      </c>
      <c r="B18" s="160" t="s">
        <v>5413</v>
      </c>
      <c r="C18" s="160" t="s">
        <v>9144</v>
      </c>
      <c r="D18" s="161">
        <v>9781522574033</v>
      </c>
      <c r="E18" s="161">
        <v>9781522574026</v>
      </c>
      <c r="F18" s="160" t="s">
        <v>8888</v>
      </c>
      <c r="G18" s="160">
        <v>1</v>
      </c>
      <c r="H18" s="160" t="s">
        <v>6518</v>
      </c>
      <c r="I18" s="160" t="s">
        <v>8889</v>
      </c>
      <c r="J18" s="160" t="s">
        <v>561</v>
      </c>
      <c r="K18" s="160">
        <v>2019</v>
      </c>
      <c r="L18" s="160" t="s">
        <v>9139</v>
      </c>
      <c r="M18" s="168" t="s">
        <v>8890</v>
      </c>
      <c r="N18" s="162"/>
      <c r="O18" s="162"/>
      <c r="P18" s="162"/>
      <c r="Q18" s="162"/>
      <c r="R18" s="162"/>
      <c r="S18" s="162"/>
    </row>
    <row r="19" spans="1:19" ht="16.350000000000001" customHeight="1">
      <c r="A19" s="167">
        <v>160</v>
      </c>
      <c r="B19" s="160" t="s">
        <v>5413</v>
      </c>
      <c r="C19" s="160" t="s">
        <v>9144</v>
      </c>
      <c r="D19" s="161">
        <v>9781614998761</v>
      </c>
      <c r="E19" s="161">
        <v>9781614998754</v>
      </c>
      <c r="F19" s="160" t="s">
        <v>8942</v>
      </c>
      <c r="G19" s="160">
        <v>1</v>
      </c>
      <c r="H19" s="160" t="s">
        <v>6518</v>
      </c>
      <c r="I19" s="160" t="s">
        <v>8943</v>
      </c>
      <c r="J19" s="160" t="s">
        <v>7826</v>
      </c>
      <c r="K19" s="160">
        <v>2018</v>
      </c>
      <c r="L19" s="160" t="s">
        <v>9139</v>
      </c>
      <c r="M19" s="168" t="s">
        <v>8944</v>
      </c>
      <c r="N19" s="162"/>
      <c r="O19" s="162"/>
      <c r="P19" s="162"/>
      <c r="Q19" s="162"/>
      <c r="R19" s="162"/>
      <c r="S19" s="162"/>
    </row>
    <row r="20" spans="1:19" ht="16.350000000000001" customHeight="1">
      <c r="A20" s="167">
        <v>152</v>
      </c>
      <c r="B20" s="160" t="s">
        <v>5413</v>
      </c>
      <c r="C20" s="160" t="s">
        <v>9145</v>
      </c>
      <c r="D20" s="161">
        <v>9781799829546</v>
      </c>
      <c r="E20" s="161">
        <v>9781799829522</v>
      </c>
      <c r="F20" s="160" t="s">
        <v>8918</v>
      </c>
      <c r="G20" s="160">
        <v>1</v>
      </c>
      <c r="H20" s="160" t="s">
        <v>6518</v>
      </c>
      <c r="I20" s="160" t="s">
        <v>8919</v>
      </c>
      <c r="J20" s="160" t="s">
        <v>561</v>
      </c>
      <c r="K20" s="160">
        <v>2020</v>
      </c>
      <c r="L20" s="160" t="s">
        <v>9139</v>
      </c>
      <c r="M20" s="168" t="s">
        <v>8920</v>
      </c>
      <c r="N20" s="162"/>
      <c r="O20" s="162"/>
      <c r="P20" s="162"/>
      <c r="Q20" s="162"/>
      <c r="R20" s="162"/>
      <c r="S20" s="162"/>
    </row>
    <row r="21" spans="1:19" ht="16.350000000000001" customHeight="1">
      <c r="A21" s="167">
        <v>157</v>
      </c>
      <c r="B21" s="160" t="s">
        <v>5413</v>
      </c>
      <c r="C21" s="160" t="s">
        <v>9145</v>
      </c>
      <c r="D21" s="161">
        <v>9781799843580</v>
      </c>
      <c r="E21" s="161">
        <v>9781799843573</v>
      </c>
      <c r="F21" s="160" t="s">
        <v>8933</v>
      </c>
      <c r="G21" s="160">
        <v>1</v>
      </c>
      <c r="H21" s="160" t="s">
        <v>6518</v>
      </c>
      <c r="I21" s="160" t="s">
        <v>8934</v>
      </c>
      <c r="J21" s="160" t="s">
        <v>561</v>
      </c>
      <c r="K21" s="160">
        <v>2021</v>
      </c>
      <c r="L21" s="160" t="s">
        <v>9139</v>
      </c>
      <c r="M21" s="168" t="s">
        <v>8935</v>
      </c>
      <c r="N21" s="162"/>
      <c r="O21" s="162"/>
      <c r="P21" s="162"/>
      <c r="Q21" s="162"/>
      <c r="R21" s="162"/>
      <c r="S21" s="162"/>
    </row>
    <row r="22" spans="1:19" ht="16.350000000000001" customHeight="1">
      <c r="A22" s="167">
        <v>143</v>
      </c>
      <c r="B22" s="160" t="s">
        <v>5413</v>
      </c>
      <c r="C22" s="160" t="s">
        <v>9146</v>
      </c>
      <c r="D22" s="161">
        <v>9781522592556</v>
      </c>
      <c r="E22" s="161">
        <v>9781522592549</v>
      </c>
      <c r="F22" s="160" t="s">
        <v>8893</v>
      </c>
      <c r="G22" s="160">
        <v>1</v>
      </c>
      <c r="H22" s="160" t="s">
        <v>6518</v>
      </c>
      <c r="I22" s="160" t="s">
        <v>5422</v>
      </c>
      <c r="J22" s="160" t="s">
        <v>561</v>
      </c>
      <c r="K22" s="160">
        <v>2020</v>
      </c>
      <c r="L22" s="160" t="s">
        <v>9139</v>
      </c>
      <c r="M22" s="168" t="s">
        <v>8894</v>
      </c>
      <c r="N22" s="162"/>
      <c r="O22" s="162"/>
      <c r="P22" s="162"/>
      <c r="Q22" s="162"/>
      <c r="R22" s="162"/>
      <c r="S22" s="162"/>
    </row>
    <row r="23" spans="1:19" ht="16.350000000000001" customHeight="1">
      <c r="A23" s="167">
        <v>135</v>
      </c>
      <c r="B23" s="160" t="s">
        <v>5413</v>
      </c>
      <c r="C23" s="160" t="s">
        <v>9147</v>
      </c>
      <c r="D23" s="161">
        <v>9781522502494</v>
      </c>
      <c r="E23" s="161">
        <v>9781522502487</v>
      </c>
      <c r="F23" s="160" t="s">
        <v>8872</v>
      </c>
      <c r="G23" s="160">
        <v>1</v>
      </c>
      <c r="H23" s="160" t="s">
        <v>6518</v>
      </c>
      <c r="I23" s="160" t="s">
        <v>167</v>
      </c>
      <c r="J23" s="160" t="s">
        <v>561</v>
      </c>
      <c r="K23" s="160">
        <v>2016</v>
      </c>
      <c r="L23" s="160" t="s">
        <v>9139</v>
      </c>
      <c r="M23" s="168" t="s">
        <v>8873</v>
      </c>
      <c r="N23" s="162"/>
      <c r="O23" s="162"/>
      <c r="P23" s="162"/>
      <c r="Q23" s="162"/>
      <c r="R23" s="162"/>
      <c r="S23" s="162"/>
    </row>
    <row r="24" spans="1:19" ht="16.350000000000001" customHeight="1">
      <c r="A24" s="167">
        <v>147</v>
      </c>
      <c r="B24" s="160" t="s">
        <v>5413</v>
      </c>
      <c r="C24" s="160" t="s">
        <v>9148</v>
      </c>
      <c r="D24" s="161">
        <v>9781799812289</v>
      </c>
      <c r="E24" s="161">
        <v>9781799812265</v>
      </c>
      <c r="F24" s="160" t="s">
        <v>8904</v>
      </c>
      <c r="G24" s="160">
        <v>1</v>
      </c>
      <c r="H24" s="160" t="s">
        <v>6518</v>
      </c>
      <c r="I24" s="160" t="s">
        <v>8905</v>
      </c>
      <c r="J24" s="160" t="s">
        <v>1233</v>
      </c>
      <c r="K24" s="160">
        <v>2020</v>
      </c>
      <c r="L24" s="160" t="s">
        <v>9139</v>
      </c>
      <c r="M24" s="168" t="s">
        <v>8906</v>
      </c>
      <c r="N24" s="162"/>
      <c r="O24" s="162"/>
      <c r="P24" s="162"/>
      <c r="Q24" s="162"/>
      <c r="R24" s="162"/>
      <c r="S24" s="162"/>
    </row>
    <row r="25" spans="1:19" ht="16.350000000000001" customHeight="1">
      <c r="A25" s="167">
        <v>140</v>
      </c>
      <c r="B25" s="160" t="s">
        <v>5413</v>
      </c>
      <c r="C25" s="160" t="s">
        <v>9149</v>
      </c>
      <c r="D25" s="161">
        <v>9781522561125</v>
      </c>
      <c r="E25" s="161">
        <v>9781522561118</v>
      </c>
      <c r="F25" s="160" t="s">
        <v>8885</v>
      </c>
      <c r="G25" s="160">
        <v>1</v>
      </c>
      <c r="H25" s="160" t="s">
        <v>6518</v>
      </c>
      <c r="I25" s="160" t="s">
        <v>8886</v>
      </c>
      <c r="J25" s="160" t="s">
        <v>1233</v>
      </c>
      <c r="K25" s="160">
        <v>2019</v>
      </c>
      <c r="L25" s="160" t="s">
        <v>9139</v>
      </c>
      <c r="M25" s="168" t="s">
        <v>8887</v>
      </c>
      <c r="N25" s="162"/>
      <c r="O25" s="162"/>
      <c r="P25" s="162"/>
      <c r="Q25" s="162"/>
      <c r="R25" s="162"/>
      <c r="S25" s="162"/>
    </row>
    <row r="26" spans="1:19" ht="16.350000000000001" customHeight="1">
      <c r="A26" s="167">
        <v>146</v>
      </c>
      <c r="B26" s="160" t="s">
        <v>5413</v>
      </c>
      <c r="C26" s="160" t="s">
        <v>9150</v>
      </c>
      <c r="D26" s="161">
        <v>9781799819264</v>
      </c>
      <c r="E26" s="161">
        <v>9781799819240</v>
      </c>
      <c r="F26" s="160" t="s">
        <v>8901</v>
      </c>
      <c r="G26" s="160">
        <v>1</v>
      </c>
      <c r="H26" s="160" t="s">
        <v>6518</v>
      </c>
      <c r="I26" s="160" t="s">
        <v>8902</v>
      </c>
      <c r="J26" s="160" t="s">
        <v>1233</v>
      </c>
      <c r="K26" s="160">
        <v>2020</v>
      </c>
      <c r="L26" s="160" t="s">
        <v>9139</v>
      </c>
      <c r="M26" s="168" t="s">
        <v>8903</v>
      </c>
      <c r="N26" s="162"/>
      <c r="O26" s="162"/>
      <c r="P26" s="162"/>
      <c r="Q26" s="162"/>
      <c r="R26" s="162"/>
      <c r="S26" s="162"/>
    </row>
    <row r="27" spans="1:19" ht="16.350000000000001" customHeight="1">
      <c r="A27" s="167">
        <v>153</v>
      </c>
      <c r="B27" s="160" t="s">
        <v>5413</v>
      </c>
      <c r="C27" s="160" t="s">
        <v>9150</v>
      </c>
      <c r="D27" s="161">
        <v>9781799826019</v>
      </c>
      <c r="E27" s="161">
        <v>9781799825999</v>
      </c>
      <c r="F27" s="160" t="s">
        <v>8921</v>
      </c>
      <c r="G27" s="160">
        <v>1</v>
      </c>
      <c r="H27" s="160" t="s">
        <v>6518</v>
      </c>
      <c r="I27" s="160" t="s">
        <v>8922</v>
      </c>
      <c r="J27" s="160" t="s">
        <v>1233</v>
      </c>
      <c r="K27" s="160">
        <v>2020</v>
      </c>
      <c r="L27" s="160" t="s">
        <v>9139</v>
      </c>
      <c r="M27" s="168" t="s">
        <v>8923</v>
      </c>
      <c r="N27" s="162"/>
      <c r="O27" s="162"/>
      <c r="P27" s="162"/>
      <c r="Q27" s="162"/>
      <c r="R27" s="162"/>
      <c r="S27" s="162"/>
    </row>
    <row r="28" spans="1:19" ht="16.350000000000001" customHeight="1">
      <c r="A28" s="167">
        <v>150</v>
      </c>
      <c r="B28" s="160" t="s">
        <v>5413</v>
      </c>
      <c r="C28" s="160" t="s">
        <v>9151</v>
      </c>
      <c r="D28" s="161">
        <v>9781799818694</v>
      </c>
      <c r="E28" s="161">
        <v>9781799818670</v>
      </c>
      <c r="F28" s="160" t="s">
        <v>8912</v>
      </c>
      <c r="G28" s="160">
        <v>1</v>
      </c>
      <c r="H28" s="160" t="s">
        <v>6518</v>
      </c>
      <c r="I28" s="160" t="s">
        <v>8913</v>
      </c>
      <c r="J28" s="160" t="s">
        <v>1233</v>
      </c>
      <c r="K28" s="160">
        <v>2020</v>
      </c>
      <c r="L28" s="160" t="s">
        <v>9139</v>
      </c>
      <c r="M28" s="168" t="s">
        <v>8914</v>
      </c>
      <c r="N28" s="162"/>
      <c r="O28" s="162"/>
      <c r="P28" s="162"/>
      <c r="Q28" s="162"/>
      <c r="R28" s="162"/>
      <c r="S28" s="162"/>
    </row>
    <row r="29" spans="1:19" ht="16.350000000000001" customHeight="1">
      <c r="A29" s="167">
        <v>167</v>
      </c>
      <c r="B29" s="160" t="s">
        <v>571</v>
      </c>
      <c r="C29" s="160" t="s">
        <v>9152</v>
      </c>
      <c r="D29" s="161">
        <v>9781522530367</v>
      </c>
      <c r="E29" s="161">
        <v>9781522530350</v>
      </c>
      <c r="F29" s="160" t="s">
        <v>8962</v>
      </c>
      <c r="G29" s="160">
        <v>1</v>
      </c>
      <c r="H29" s="160" t="s">
        <v>6518</v>
      </c>
      <c r="I29" s="160" t="s">
        <v>6735</v>
      </c>
      <c r="J29" s="160" t="s">
        <v>1233</v>
      </c>
      <c r="K29" s="160">
        <v>2018</v>
      </c>
      <c r="L29" s="160" t="s">
        <v>9139</v>
      </c>
      <c r="M29" s="168" t="s">
        <v>8963</v>
      </c>
      <c r="N29" s="162"/>
      <c r="O29" s="162"/>
      <c r="P29" s="162"/>
      <c r="Q29" s="162"/>
      <c r="R29" s="162"/>
      <c r="S29" s="162"/>
    </row>
    <row r="30" spans="1:19" ht="16.350000000000001" customHeight="1">
      <c r="A30" s="167">
        <v>200</v>
      </c>
      <c r="B30" s="160" t="s">
        <v>571</v>
      </c>
      <c r="C30" s="160" t="s">
        <v>9153</v>
      </c>
      <c r="D30" s="161">
        <v>9781799815204</v>
      </c>
      <c r="E30" s="161">
        <v>9781799815181</v>
      </c>
      <c r="F30" s="160" t="s">
        <v>9049</v>
      </c>
      <c r="G30" s="160">
        <v>1</v>
      </c>
      <c r="H30" s="160" t="s">
        <v>6518</v>
      </c>
      <c r="I30" s="160" t="s">
        <v>9050</v>
      </c>
      <c r="J30" s="160" t="s">
        <v>1233</v>
      </c>
      <c r="K30" s="160">
        <v>2020</v>
      </c>
      <c r="L30" s="160" t="s">
        <v>9139</v>
      </c>
      <c r="M30" s="168" t="s">
        <v>9051</v>
      </c>
      <c r="N30" s="162"/>
      <c r="O30" s="162"/>
      <c r="P30" s="162"/>
      <c r="Q30" s="162"/>
      <c r="R30" s="162"/>
      <c r="S30" s="162"/>
    </row>
    <row r="31" spans="1:19" ht="16.350000000000001" customHeight="1">
      <c r="A31" s="167">
        <v>190</v>
      </c>
      <c r="B31" s="160" t="s">
        <v>571</v>
      </c>
      <c r="C31" s="160" t="s">
        <v>9154</v>
      </c>
      <c r="D31" s="161">
        <v>9781799815327</v>
      </c>
      <c r="E31" s="161">
        <v>9781799815303</v>
      </c>
      <c r="F31" s="160" t="s">
        <v>9021</v>
      </c>
      <c r="G31" s="160">
        <v>1</v>
      </c>
      <c r="H31" s="160" t="s">
        <v>6518</v>
      </c>
      <c r="I31" s="160" t="s">
        <v>9022</v>
      </c>
      <c r="J31" s="160" t="s">
        <v>1233</v>
      </c>
      <c r="K31" s="160">
        <v>2020</v>
      </c>
      <c r="L31" s="160" t="s">
        <v>9139</v>
      </c>
      <c r="M31" s="168" t="s">
        <v>9023</v>
      </c>
      <c r="N31" s="162"/>
      <c r="O31" s="162"/>
      <c r="P31" s="162"/>
      <c r="Q31" s="162"/>
      <c r="R31" s="162"/>
      <c r="S31" s="162"/>
    </row>
    <row r="32" spans="1:19" ht="16.350000000000001" customHeight="1">
      <c r="A32" s="167">
        <v>192</v>
      </c>
      <c r="B32" s="160" t="s">
        <v>571</v>
      </c>
      <c r="C32" s="160" t="s">
        <v>9154</v>
      </c>
      <c r="D32" s="161">
        <v>9781799818335</v>
      </c>
      <c r="E32" s="161">
        <v>9781799818311</v>
      </c>
      <c r="F32" s="160" t="s">
        <v>9027</v>
      </c>
      <c r="G32" s="160">
        <v>1</v>
      </c>
      <c r="H32" s="160" t="s">
        <v>6518</v>
      </c>
      <c r="I32" s="160" t="s">
        <v>8300</v>
      </c>
      <c r="J32" s="160" t="s">
        <v>1233</v>
      </c>
      <c r="K32" s="160">
        <v>2020</v>
      </c>
      <c r="L32" s="160" t="s">
        <v>9139</v>
      </c>
      <c r="M32" s="168" t="s">
        <v>9028</v>
      </c>
      <c r="N32" s="162"/>
      <c r="O32" s="162"/>
      <c r="P32" s="162"/>
      <c r="Q32" s="162"/>
      <c r="R32" s="162"/>
      <c r="S32" s="162"/>
    </row>
    <row r="33" spans="1:19" ht="16.350000000000001" customHeight="1">
      <c r="A33" s="167">
        <v>201</v>
      </c>
      <c r="B33" s="160" t="s">
        <v>571</v>
      </c>
      <c r="C33" s="160" t="s">
        <v>9154</v>
      </c>
      <c r="D33" s="161">
        <v>9781799816911</v>
      </c>
      <c r="E33" s="161">
        <v>9781799816904</v>
      </c>
      <c r="F33" s="160" t="s">
        <v>9052</v>
      </c>
      <c r="G33" s="160">
        <v>1</v>
      </c>
      <c r="H33" s="160" t="s">
        <v>6518</v>
      </c>
      <c r="I33" s="160" t="s">
        <v>9053</v>
      </c>
      <c r="J33" s="160" t="s">
        <v>1233</v>
      </c>
      <c r="K33" s="160">
        <v>2020</v>
      </c>
      <c r="L33" s="160" t="s">
        <v>9139</v>
      </c>
      <c r="M33" s="168" t="s">
        <v>9054</v>
      </c>
      <c r="N33" s="162"/>
      <c r="O33" s="162"/>
      <c r="P33" s="162"/>
      <c r="Q33" s="162"/>
      <c r="R33" s="162"/>
      <c r="S33" s="162"/>
    </row>
    <row r="34" spans="1:19" ht="16.350000000000001" customHeight="1">
      <c r="A34" s="167">
        <v>207</v>
      </c>
      <c r="B34" s="160" t="s">
        <v>571</v>
      </c>
      <c r="C34" s="160" t="s">
        <v>9154</v>
      </c>
      <c r="D34" s="161">
        <v>9781799824282</v>
      </c>
      <c r="E34" s="161">
        <v>9781799824268</v>
      </c>
      <c r="F34" s="160" t="s">
        <v>9069</v>
      </c>
      <c r="G34" s="160">
        <v>1</v>
      </c>
      <c r="H34" s="160" t="s">
        <v>6518</v>
      </c>
      <c r="I34" s="160" t="s">
        <v>9070</v>
      </c>
      <c r="J34" s="160" t="s">
        <v>1233</v>
      </c>
      <c r="K34" s="160">
        <v>2020</v>
      </c>
      <c r="L34" s="160" t="s">
        <v>9139</v>
      </c>
      <c r="M34" s="168" t="s">
        <v>9071</v>
      </c>
      <c r="N34" s="162"/>
      <c r="O34" s="162"/>
      <c r="P34" s="162"/>
      <c r="Q34" s="162"/>
      <c r="R34" s="162"/>
      <c r="S34" s="162"/>
    </row>
    <row r="35" spans="1:19" ht="16.350000000000001" customHeight="1">
      <c r="A35" s="167">
        <v>218</v>
      </c>
      <c r="B35" s="160" t="s">
        <v>571</v>
      </c>
      <c r="C35" s="160" t="s">
        <v>9154</v>
      </c>
      <c r="D35" s="161">
        <v>9781799816492</v>
      </c>
      <c r="E35" s="161">
        <v>9781799816478</v>
      </c>
      <c r="F35" s="160" t="s">
        <v>9101</v>
      </c>
      <c r="G35" s="160">
        <v>1</v>
      </c>
      <c r="H35" s="160" t="s">
        <v>6518</v>
      </c>
      <c r="I35" s="160" t="s">
        <v>9102</v>
      </c>
      <c r="J35" s="160" t="s">
        <v>1233</v>
      </c>
      <c r="K35" s="160">
        <v>2021</v>
      </c>
      <c r="L35" s="160" t="s">
        <v>9139</v>
      </c>
      <c r="M35" s="168" t="s">
        <v>9103</v>
      </c>
      <c r="N35" s="162"/>
      <c r="O35" s="162"/>
      <c r="P35" s="162"/>
      <c r="Q35" s="162"/>
      <c r="R35" s="162"/>
      <c r="S35" s="162"/>
    </row>
    <row r="36" spans="1:19" ht="16.350000000000001" customHeight="1">
      <c r="A36" s="167">
        <v>162</v>
      </c>
      <c r="B36" s="160" t="s">
        <v>571</v>
      </c>
      <c r="C36" s="160" t="s">
        <v>9155</v>
      </c>
      <c r="D36" s="161">
        <v>9781466681125</v>
      </c>
      <c r="E36" s="161">
        <v>9781466681118</v>
      </c>
      <c r="F36" s="160" t="s">
        <v>8949</v>
      </c>
      <c r="G36" s="160">
        <v>1</v>
      </c>
      <c r="H36" s="160" t="s">
        <v>6518</v>
      </c>
      <c r="I36" s="160" t="s">
        <v>3446</v>
      </c>
      <c r="J36" s="160" t="s">
        <v>569</v>
      </c>
      <c r="K36" s="160">
        <v>2015</v>
      </c>
      <c r="L36" s="160" t="s">
        <v>9139</v>
      </c>
      <c r="M36" s="168" t="s">
        <v>8950</v>
      </c>
      <c r="N36" s="162"/>
      <c r="O36" s="162"/>
      <c r="P36" s="162"/>
      <c r="Q36" s="162"/>
      <c r="R36" s="162"/>
      <c r="S36" s="162"/>
    </row>
    <row r="37" spans="1:19" ht="16.350000000000001" customHeight="1">
      <c r="A37" s="167">
        <v>164</v>
      </c>
      <c r="B37" s="160" t="s">
        <v>571</v>
      </c>
      <c r="C37" s="160" t="s">
        <v>9155</v>
      </c>
      <c r="D37" s="161">
        <v>9781522550921</v>
      </c>
      <c r="E37" s="161">
        <v>9781522550914</v>
      </c>
      <c r="F37" s="160" t="s">
        <v>8954</v>
      </c>
      <c r="G37" s="160">
        <v>1</v>
      </c>
      <c r="H37" s="160" t="s">
        <v>6518</v>
      </c>
      <c r="I37" s="160" t="s">
        <v>8955</v>
      </c>
      <c r="J37" s="160" t="s">
        <v>1233</v>
      </c>
      <c r="K37" s="160">
        <v>2018</v>
      </c>
      <c r="L37" s="160" t="s">
        <v>9139</v>
      </c>
      <c r="M37" s="168" t="s">
        <v>8956</v>
      </c>
      <c r="N37" s="162"/>
      <c r="O37" s="162"/>
      <c r="P37" s="162"/>
      <c r="Q37" s="162"/>
      <c r="R37" s="162"/>
      <c r="S37" s="162"/>
    </row>
    <row r="38" spans="1:19" ht="16.350000000000001" customHeight="1">
      <c r="A38" s="167">
        <v>166</v>
      </c>
      <c r="B38" s="160" t="s">
        <v>571</v>
      </c>
      <c r="C38" s="160" t="s">
        <v>9155</v>
      </c>
      <c r="D38" s="161">
        <v>9781522554851</v>
      </c>
      <c r="E38" s="161">
        <v>9781522554844</v>
      </c>
      <c r="F38" s="160" t="s">
        <v>8960</v>
      </c>
      <c r="G38" s="160">
        <v>1</v>
      </c>
      <c r="H38" s="160" t="s">
        <v>6518</v>
      </c>
      <c r="I38" s="160" t="s">
        <v>3446</v>
      </c>
      <c r="J38" s="160" t="s">
        <v>1233</v>
      </c>
      <c r="K38" s="160">
        <v>2018</v>
      </c>
      <c r="L38" s="160" t="s">
        <v>9139</v>
      </c>
      <c r="M38" s="168" t="s">
        <v>8961</v>
      </c>
      <c r="N38" s="162"/>
      <c r="O38" s="162"/>
      <c r="P38" s="162"/>
      <c r="Q38" s="162"/>
      <c r="R38" s="162"/>
      <c r="S38" s="162"/>
    </row>
    <row r="39" spans="1:19" ht="16.350000000000001" customHeight="1">
      <c r="A39" s="167">
        <v>169</v>
      </c>
      <c r="B39" s="160" t="s">
        <v>571</v>
      </c>
      <c r="C39" s="160" t="s">
        <v>9155</v>
      </c>
      <c r="D39" s="161">
        <v>9781522572787</v>
      </c>
      <c r="E39" s="161">
        <v>9781522572770</v>
      </c>
      <c r="F39" s="160" t="s">
        <v>8966</v>
      </c>
      <c r="G39" s="160">
        <v>1</v>
      </c>
      <c r="H39" s="160" t="s">
        <v>6518</v>
      </c>
      <c r="I39" s="160" t="s">
        <v>1863</v>
      </c>
      <c r="J39" s="160" t="s">
        <v>1233</v>
      </c>
      <c r="K39" s="160">
        <v>2019</v>
      </c>
      <c r="L39" s="160" t="s">
        <v>9139</v>
      </c>
      <c r="M39" s="168" t="s">
        <v>8967</v>
      </c>
      <c r="N39" s="162"/>
      <c r="O39" s="162"/>
      <c r="P39" s="162"/>
      <c r="Q39" s="162"/>
      <c r="R39" s="162"/>
      <c r="S39" s="162"/>
    </row>
    <row r="40" spans="1:19" ht="16.350000000000001" customHeight="1">
      <c r="A40" s="167">
        <v>171</v>
      </c>
      <c r="B40" s="160" t="s">
        <v>571</v>
      </c>
      <c r="C40" s="160" t="s">
        <v>9155</v>
      </c>
      <c r="D40" s="161">
        <v>9781522585572</v>
      </c>
      <c r="E40" s="161">
        <v>9781522585558</v>
      </c>
      <c r="F40" s="160" t="s">
        <v>8970</v>
      </c>
      <c r="G40" s="160">
        <v>1</v>
      </c>
      <c r="H40" s="160" t="s">
        <v>6518</v>
      </c>
      <c r="I40" s="160" t="s">
        <v>8971</v>
      </c>
      <c r="J40" s="160" t="s">
        <v>1233</v>
      </c>
      <c r="K40" s="160">
        <v>2019</v>
      </c>
      <c r="L40" s="160" t="s">
        <v>9139</v>
      </c>
      <c r="M40" s="168" t="s">
        <v>8972</v>
      </c>
      <c r="N40" s="162"/>
      <c r="O40" s="162"/>
      <c r="P40" s="162"/>
      <c r="Q40" s="162"/>
      <c r="R40" s="162"/>
      <c r="S40" s="162"/>
    </row>
    <row r="41" spans="1:19" ht="16.350000000000001" customHeight="1">
      <c r="A41" s="167">
        <v>172</v>
      </c>
      <c r="B41" s="160" t="s">
        <v>571</v>
      </c>
      <c r="C41" s="160" t="s">
        <v>9155</v>
      </c>
      <c r="D41" s="161">
        <v>9781522592594</v>
      </c>
      <c r="E41" s="161">
        <v>9781522592570</v>
      </c>
      <c r="F41" s="160" t="s">
        <v>8973</v>
      </c>
      <c r="G41" s="160">
        <v>1</v>
      </c>
      <c r="H41" s="160" t="s">
        <v>6518</v>
      </c>
      <c r="I41" s="160" t="s">
        <v>8974</v>
      </c>
      <c r="J41" s="160" t="s">
        <v>1233</v>
      </c>
      <c r="K41" s="160">
        <v>2019</v>
      </c>
      <c r="L41" s="160" t="s">
        <v>9139</v>
      </c>
      <c r="M41" s="168" t="s">
        <v>8975</v>
      </c>
      <c r="N41" s="162"/>
      <c r="O41" s="162"/>
      <c r="P41" s="162"/>
      <c r="Q41" s="162"/>
      <c r="R41" s="162"/>
      <c r="S41" s="162"/>
    </row>
    <row r="42" spans="1:19" ht="16.350000000000001" customHeight="1">
      <c r="A42" s="167">
        <v>173</v>
      </c>
      <c r="B42" s="160" t="s">
        <v>571</v>
      </c>
      <c r="C42" s="160" t="s">
        <v>9155</v>
      </c>
      <c r="D42" s="161">
        <v>9781522595809</v>
      </c>
      <c r="E42" s="161">
        <v>9781522595786</v>
      </c>
      <c r="F42" s="160" t="s">
        <v>8976</v>
      </c>
      <c r="G42" s="160">
        <v>1</v>
      </c>
      <c r="H42" s="160" t="s">
        <v>6518</v>
      </c>
      <c r="I42" s="160" t="s">
        <v>8977</v>
      </c>
      <c r="J42" s="160" t="s">
        <v>1233</v>
      </c>
      <c r="K42" s="160">
        <v>2019</v>
      </c>
      <c r="L42" s="160" t="s">
        <v>9139</v>
      </c>
      <c r="M42" s="168" t="s">
        <v>8978</v>
      </c>
      <c r="N42" s="162"/>
      <c r="O42" s="162"/>
      <c r="P42" s="162"/>
      <c r="Q42" s="162"/>
      <c r="R42" s="162"/>
      <c r="S42" s="162"/>
    </row>
    <row r="43" spans="1:19" ht="16.350000000000001" customHeight="1">
      <c r="A43" s="167">
        <v>179</v>
      </c>
      <c r="B43" s="160" t="s">
        <v>571</v>
      </c>
      <c r="C43" s="160" t="s">
        <v>9155</v>
      </c>
      <c r="D43" s="161">
        <v>9781799801382</v>
      </c>
      <c r="E43" s="161">
        <v>9781799801375</v>
      </c>
      <c r="F43" s="160" t="s">
        <v>8991</v>
      </c>
      <c r="G43" s="160">
        <v>1</v>
      </c>
      <c r="H43" s="160" t="s">
        <v>6518</v>
      </c>
      <c r="I43" s="160" t="s">
        <v>1970</v>
      </c>
      <c r="J43" s="160" t="s">
        <v>1233</v>
      </c>
      <c r="K43" s="160">
        <v>2020</v>
      </c>
      <c r="L43" s="160" t="s">
        <v>9139</v>
      </c>
      <c r="M43" s="168" t="s">
        <v>8992</v>
      </c>
      <c r="N43" s="162"/>
      <c r="O43" s="162"/>
      <c r="P43" s="162"/>
      <c r="Q43" s="162"/>
      <c r="R43" s="162"/>
      <c r="S43" s="162"/>
    </row>
    <row r="44" spans="1:19" ht="16.350000000000001" customHeight="1">
      <c r="A44" s="167">
        <v>181</v>
      </c>
      <c r="B44" s="160" t="s">
        <v>571</v>
      </c>
      <c r="C44" s="160" t="s">
        <v>9155</v>
      </c>
      <c r="D44" s="161">
        <v>9781522597445</v>
      </c>
      <c r="E44" s="161">
        <v>9781522597421</v>
      </c>
      <c r="F44" s="160" t="s">
        <v>8995</v>
      </c>
      <c r="G44" s="160">
        <v>1</v>
      </c>
      <c r="H44" s="160" t="s">
        <v>6518</v>
      </c>
      <c r="I44" s="160" t="s">
        <v>8996</v>
      </c>
      <c r="J44" s="160" t="s">
        <v>569</v>
      </c>
      <c r="K44" s="160">
        <v>2020</v>
      </c>
      <c r="L44" s="160" t="s">
        <v>9139</v>
      </c>
      <c r="M44" s="168" t="s">
        <v>8997</v>
      </c>
      <c r="N44" s="162"/>
      <c r="O44" s="162"/>
      <c r="P44" s="162"/>
      <c r="Q44" s="162"/>
      <c r="R44" s="162"/>
      <c r="S44" s="162"/>
    </row>
    <row r="45" spans="1:19" ht="16.350000000000001" customHeight="1">
      <c r="A45" s="167">
        <v>182</v>
      </c>
      <c r="B45" s="160" t="s">
        <v>571</v>
      </c>
      <c r="C45" s="160" t="s">
        <v>9155</v>
      </c>
      <c r="D45" s="161">
        <v>9781522595762</v>
      </c>
      <c r="E45" s="161">
        <v>9781522595748</v>
      </c>
      <c r="F45" s="160" t="s">
        <v>8998</v>
      </c>
      <c r="G45" s="160">
        <v>1</v>
      </c>
      <c r="H45" s="160" t="s">
        <v>6518</v>
      </c>
      <c r="I45" s="160" t="s">
        <v>8999</v>
      </c>
      <c r="J45" s="160" t="s">
        <v>1233</v>
      </c>
      <c r="K45" s="160">
        <v>2020</v>
      </c>
      <c r="L45" s="160" t="s">
        <v>9139</v>
      </c>
      <c r="M45" s="168" t="s">
        <v>9000</v>
      </c>
      <c r="N45" s="162"/>
      <c r="O45" s="162"/>
      <c r="P45" s="162"/>
      <c r="Q45" s="162"/>
      <c r="R45" s="162"/>
      <c r="S45" s="162"/>
    </row>
    <row r="46" spans="1:19" ht="16.350000000000001" customHeight="1">
      <c r="A46" s="167">
        <v>183</v>
      </c>
      <c r="B46" s="160" t="s">
        <v>571</v>
      </c>
      <c r="C46" s="160" t="s">
        <v>9155</v>
      </c>
      <c r="D46" s="161">
        <v>9781522597520</v>
      </c>
      <c r="E46" s="161">
        <v>9781522597506</v>
      </c>
      <c r="F46" s="160" t="s">
        <v>9001</v>
      </c>
      <c r="G46" s="160">
        <v>1</v>
      </c>
      <c r="H46" s="160" t="s">
        <v>6518</v>
      </c>
      <c r="I46" s="160" t="s">
        <v>9002</v>
      </c>
      <c r="J46" s="160" t="s">
        <v>1233</v>
      </c>
      <c r="K46" s="160">
        <v>2020</v>
      </c>
      <c r="L46" s="160" t="s">
        <v>9139</v>
      </c>
      <c r="M46" s="168" t="s">
        <v>9003</v>
      </c>
      <c r="N46" s="162"/>
      <c r="O46" s="162"/>
      <c r="P46" s="162"/>
      <c r="Q46" s="162"/>
      <c r="R46" s="162"/>
      <c r="S46" s="162"/>
    </row>
    <row r="47" spans="1:19" ht="16.350000000000001" customHeight="1">
      <c r="A47" s="167">
        <v>184</v>
      </c>
      <c r="B47" s="160" t="s">
        <v>571</v>
      </c>
      <c r="C47" s="160" t="s">
        <v>9155</v>
      </c>
      <c r="D47" s="161">
        <v>9781522596899</v>
      </c>
      <c r="E47" s="161">
        <v>9781522596875</v>
      </c>
      <c r="F47" s="160" t="s">
        <v>9004</v>
      </c>
      <c r="G47" s="160">
        <v>1</v>
      </c>
      <c r="H47" s="160" t="s">
        <v>6518</v>
      </c>
      <c r="I47" s="160" t="s">
        <v>9005</v>
      </c>
      <c r="J47" s="160" t="s">
        <v>1233</v>
      </c>
      <c r="K47" s="160">
        <v>2020</v>
      </c>
      <c r="L47" s="160" t="s">
        <v>9139</v>
      </c>
      <c r="M47" s="168" t="s">
        <v>9006</v>
      </c>
      <c r="N47" s="162"/>
      <c r="O47" s="162"/>
      <c r="P47" s="162"/>
      <c r="Q47" s="162"/>
      <c r="R47" s="162"/>
      <c r="S47" s="162"/>
    </row>
    <row r="48" spans="1:19" ht="16.350000000000001" customHeight="1">
      <c r="A48" s="167">
        <v>186</v>
      </c>
      <c r="B48" s="160" t="s">
        <v>571</v>
      </c>
      <c r="C48" s="160" t="s">
        <v>9155</v>
      </c>
      <c r="D48" s="161">
        <v>9781799801078</v>
      </c>
      <c r="E48" s="161">
        <v>9781799801061</v>
      </c>
      <c r="F48" s="160" t="s">
        <v>9009</v>
      </c>
      <c r="G48" s="160">
        <v>1</v>
      </c>
      <c r="H48" s="160" t="s">
        <v>6518</v>
      </c>
      <c r="I48" s="160" t="s">
        <v>9010</v>
      </c>
      <c r="J48" s="160" t="s">
        <v>1233</v>
      </c>
      <c r="K48" s="160">
        <v>2020</v>
      </c>
      <c r="L48" s="160" t="s">
        <v>9139</v>
      </c>
      <c r="M48" s="168" t="s">
        <v>9011</v>
      </c>
      <c r="N48" s="162"/>
      <c r="O48" s="162"/>
      <c r="P48" s="162"/>
      <c r="Q48" s="162"/>
      <c r="R48" s="162"/>
      <c r="S48" s="162"/>
    </row>
    <row r="49" spans="1:19" ht="16.350000000000001" customHeight="1">
      <c r="A49" s="167">
        <v>189</v>
      </c>
      <c r="B49" s="160" t="s">
        <v>571</v>
      </c>
      <c r="C49" s="160" t="s">
        <v>9155</v>
      </c>
      <c r="D49" s="161">
        <v>9781799803751</v>
      </c>
      <c r="E49" s="161">
        <v>9781799803737</v>
      </c>
      <c r="F49" s="160" t="s">
        <v>9018</v>
      </c>
      <c r="G49" s="160">
        <v>1</v>
      </c>
      <c r="H49" s="160" t="s">
        <v>6518</v>
      </c>
      <c r="I49" s="160" t="s">
        <v>9019</v>
      </c>
      <c r="J49" s="160" t="s">
        <v>569</v>
      </c>
      <c r="K49" s="160">
        <v>2020</v>
      </c>
      <c r="L49" s="160" t="s">
        <v>9139</v>
      </c>
      <c r="M49" s="168" t="s">
        <v>9020</v>
      </c>
      <c r="N49" s="162"/>
      <c r="O49" s="162"/>
      <c r="P49" s="162"/>
      <c r="Q49" s="162"/>
      <c r="R49" s="162"/>
      <c r="S49" s="162"/>
    </row>
    <row r="50" spans="1:19" ht="16.350000000000001" customHeight="1">
      <c r="A50" s="167">
        <v>193</v>
      </c>
      <c r="B50" s="160" t="s">
        <v>571</v>
      </c>
      <c r="C50" s="160" t="s">
        <v>9155</v>
      </c>
      <c r="D50" s="161">
        <v>9781799813835</v>
      </c>
      <c r="E50" s="161">
        <v>9781799813828</v>
      </c>
      <c r="F50" s="160" t="s">
        <v>9029</v>
      </c>
      <c r="G50" s="160">
        <v>1</v>
      </c>
      <c r="H50" s="160" t="s">
        <v>6518</v>
      </c>
      <c r="I50" s="160" t="s">
        <v>1970</v>
      </c>
      <c r="J50" s="160" t="s">
        <v>1233</v>
      </c>
      <c r="K50" s="160">
        <v>2020</v>
      </c>
      <c r="L50" s="160" t="s">
        <v>9139</v>
      </c>
      <c r="M50" s="168" t="s">
        <v>9030</v>
      </c>
      <c r="N50" s="162"/>
      <c r="O50" s="162"/>
      <c r="P50" s="162"/>
      <c r="Q50" s="162"/>
      <c r="R50" s="162"/>
      <c r="S50" s="162"/>
    </row>
    <row r="51" spans="1:19" ht="16.350000000000001" customHeight="1">
      <c r="A51" s="167">
        <v>194</v>
      </c>
      <c r="B51" s="160" t="s">
        <v>571</v>
      </c>
      <c r="C51" s="160" t="s">
        <v>9155</v>
      </c>
      <c r="D51" s="161">
        <v>9781799817987</v>
      </c>
      <c r="E51" s="161">
        <v>9781799817963</v>
      </c>
      <c r="F51" s="160" t="s">
        <v>9031</v>
      </c>
      <c r="G51" s="160">
        <v>1</v>
      </c>
      <c r="H51" s="160" t="s">
        <v>6518</v>
      </c>
      <c r="I51" s="160" t="s">
        <v>9032</v>
      </c>
      <c r="J51" s="160" t="s">
        <v>1233</v>
      </c>
      <c r="K51" s="160">
        <v>2020</v>
      </c>
      <c r="L51" s="160" t="s">
        <v>9139</v>
      </c>
      <c r="M51" s="168" t="s">
        <v>9033</v>
      </c>
      <c r="N51" s="162"/>
      <c r="O51" s="162"/>
      <c r="P51" s="162"/>
      <c r="Q51" s="162"/>
      <c r="R51" s="162"/>
      <c r="S51" s="162"/>
    </row>
    <row r="52" spans="1:19" ht="16.350000000000001" customHeight="1">
      <c r="A52" s="167">
        <v>196</v>
      </c>
      <c r="B52" s="160" t="s">
        <v>571</v>
      </c>
      <c r="C52" s="160" t="s">
        <v>9155</v>
      </c>
      <c r="D52" s="161">
        <v>9781799811947</v>
      </c>
      <c r="E52" s="161">
        <v>9781799811923</v>
      </c>
      <c r="F52" s="160" t="s">
        <v>9037</v>
      </c>
      <c r="G52" s="160">
        <v>1</v>
      </c>
      <c r="H52" s="160" t="s">
        <v>6518</v>
      </c>
      <c r="I52" s="160" t="s">
        <v>9038</v>
      </c>
      <c r="J52" s="160" t="s">
        <v>1233</v>
      </c>
      <c r="K52" s="160">
        <v>2020</v>
      </c>
      <c r="L52" s="160" t="s">
        <v>9139</v>
      </c>
      <c r="M52" s="168" t="s">
        <v>9039</v>
      </c>
      <c r="N52" s="162"/>
      <c r="O52" s="162"/>
      <c r="P52" s="162"/>
      <c r="Q52" s="162"/>
      <c r="R52" s="162"/>
      <c r="S52" s="162"/>
    </row>
    <row r="53" spans="1:19" ht="16.350000000000001" customHeight="1">
      <c r="A53" s="167">
        <v>197</v>
      </c>
      <c r="B53" s="160" t="s">
        <v>571</v>
      </c>
      <c r="C53" s="160" t="s">
        <v>9155</v>
      </c>
      <c r="D53" s="161">
        <v>9781799821441</v>
      </c>
      <c r="E53" s="161">
        <v>9781799821427</v>
      </c>
      <c r="F53" s="160" t="s">
        <v>9040</v>
      </c>
      <c r="G53" s="160">
        <v>1</v>
      </c>
      <c r="H53" s="160" t="s">
        <v>6518</v>
      </c>
      <c r="I53" s="160" t="s">
        <v>9041</v>
      </c>
      <c r="J53" s="160" t="s">
        <v>1233</v>
      </c>
      <c r="K53" s="160">
        <v>2020</v>
      </c>
      <c r="L53" s="160" t="s">
        <v>9139</v>
      </c>
      <c r="M53" s="168" t="s">
        <v>9042</v>
      </c>
      <c r="N53" s="162"/>
      <c r="O53" s="162"/>
      <c r="P53" s="162"/>
      <c r="Q53" s="162"/>
      <c r="R53" s="162"/>
      <c r="S53" s="162"/>
    </row>
    <row r="54" spans="1:19" ht="16.350000000000001" customHeight="1">
      <c r="A54" s="167">
        <v>199</v>
      </c>
      <c r="B54" s="160" t="s">
        <v>571</v>
      </c>
      <c r="C54" s="160" t="s">
        <v>9155</v>
      </c>
      <c r="D54" s="161">
        <v>9781799814665</v>
      </c>
      <c r="E54" s="161">
        <v>9781799814641</v>
      </c>
      <c r="F54" s="160" t="s">
        <v>9046</v>
      </c>
      <c r="G54" s="160">
        <v>1</v>
      </c>
      <c r="H54" s="160" t="s">
        <v>6518</v>
      </c>
      <c r="I54" s="160" t="s">
        <v>9047</v>
      </c>
      <c r="J54" s="160" t="s">
        <v>1233</v>
      </c>
      <c r="K54" s="160">
        <v>2020</v>
      </c>
      <c r="L54" s="160" t="s">
        <v>9139</v>
      </c>
      <c r="M54" s="168" t="s">
        <v>9048</v>
      </c>
      <c r="N54" s="162"/>
      <c r="O54" s="162"/>
      <c r="P54" s="162"/>
      <c r="Q54" s="162"/>
      <c r="R54" s="162"/>
      <c r="S54" s="162"/>
    </row>
    <row r="55" spans="1:19" ht="16.350000000000001" customHeight="1">
      <c r="A55" s="167">
        <v>205</v>
      </c>
      <c r="B55" s="160" t="s">
        <v>571</v>
      </c>
      <c r="C55" s="160" t="s">
        <v>9155</v>
      </c>
      <c r="D55" s="161">
        <v>9781799822554</v>
      </c>
      <c r="E55" s="161">
        <v>9781799822530</v>
      </c>
      <c r="F55" s="160" t="s">
        <v>9064</v>
      </c>
      <c r="G55" s="160">
        <v>1</v>
      </c>
      <c r="H55" s="160" t="s">
        <v>6518</v>
      </c>
      <c r="I55" s="160" t="s">
        <v>9065</v>
      </c>
      <c r="J55" s="160" t="s">
        <v>569</v>
      </c>
      <c r="K55" s="160">
        <v>2020</v>
      </c>
      <c r="L55" s="160" t="s">
        <v>9139</v>
      </c>
      <c r="M55" s="168" t="s">
        <v>9066</v>
      </c>
      <c r="N55" s="162"/>
      <c r="O55" s="162"/>
      <c r="P55" s="162"/>
      <c r="Q55" s="162"/>
      <c r="R55" s="162"/>
      <c r="S55" s="162"/>
    </row>
    <row r="56" spans="1:19" ht="16.350000000000001" customHeight="1">
      <c r="A56" s="167">
        <v>206</v>
      </c>
      <c r="B56" s="160" t="s">
        <v>571</v>
      </c>
      <c r="C56" s="160" t="s">
        <v>9155</v>
      </c>
      <c r="D56" s="161">
        <v>9781799824206</v>
      </c>
      <c r="E56" s="161">
        <v>9781799824183</v>
      </c>
      <c r="F56" s="160" t="s">
        <v>9067</v>
      </c>
      <c r="G56" s="160">
        <v>1</v>
      </c>
      <c r="H56" s="160" t="s">
        <v>6518</v>
      </c>
      <c r="I56" s="160" t="s">
        <v>8801</v>
      </c>
      <c r="J56" s="160" t="s">
        <v>569</v>
      </c>
      <c r="K56" s="160">
        <v>2020</v>
      </c>
      <c r="L56" s="160" t="s">
        <v>9139</v>
      </c>
      <c r="M56" s="168" t="s">
        <v>9068</v>
      </c>
      <c r="N56" s="162"/>
      <c r="O56" s="162"/>
      <c r="P56" s="162"/>
      <c r="Q56" s="162"/>
      <c r="R56" s="162"/>
      <c r="S56" s="162"/>
    </row>
    <row r="57" spans="1:19" ht="16.350000000000001" customHeight="1">
      <c r="A57" s="167">
        <v>208</v>
      </c>
      <c r="B57" s="160" t="s">
        <v>571</v>
      </c>
      <c r="C57" s="160" t="s">
        <v>9155</v>
      </c>
      <c r="D57" s="161">
        <v>9781799825722</v>
      </c>
      <c r="E57" s="161">
        <v>9781799825708</v>
      </c>
      <c r="F57" s="160" t="s">
        <v>9072</v>
      </c>
      <c r="G57" s="160">
        <v>1</v>
      </c>
      <c r="H57" s="160" t="s">
        <v>6518</v>
      </c>
      <c r="I57" s="160" t="s">
        <v>9073</v>
      </c>
      <c r="J57" s="160" t="s">
        <v>1233</v>
      </c>
      <c r="K57" s="160">
        <v>2020</v>
      </c>
      <c r="L57" s="160" t="s">
        <v>9139</v>
      </c>
      <c r="M57" s="168" t="s">
        <v>9074</v>
      </c>
      <c r="N57" s="162"/>
      <c r="O57" s="162"/>
      <c r="P57" s="162"/>
      <c r="Q57" s="162"/>
      <c r="R57" s="162"/>
      <c r="S57" s="162"/>
    </row>
    <row r="58" spans="1:19" ht="16.350000000000001" customHeight="1">
      <c r="A58" s="167">
        <v>209</v>
      </c>
      <c r="B58" s="160" t="s">
        <v>571</v>
      </c>
      <c r="C58" s="160" t="s">
        <v>9155</v>
      </c>
      <c r="D58" s="161">
        <v>9781799827207</v>
      </c>
      <c r="E58" s="161">
        <v>9781799827184</v>
      </c>
      <c r="F58" s="160" t="s">
        <v>9075</v>
      </c>
      <c r="G58" s="160">
        <v>1</v>
      </c>
      <c r="H58" s="160" t="s">
        <v>6518</v>
      </c>
      <c r="I58" s="160" t="s">
        <v>7372</v>
      </c>
      <c r="J58" s="160" t="s">
        <v>1233</v>
      </c>
      <c r="K58" s="160">
        <v>2020</v>
      </c>
      <c r="L58" s="160" t="s">
        <v>9139</v>
      </c>
      <c r="M58" s="168" t="s">
        <v>9076</v>
      </c>
      <c r="N58" s="162"/>
      <c r="O58" s="162"/>
      <c r="P58" s="162"/>
      <c r="Q58" s="162"/>
      <c r="R58" s="162"/>
      <c r="S58" s="162"/>
    </row>
    <row r="59" spans="1:19" ht="16.350000000000001" customHeight="1">
      <c r="A59" s="167">
        <v>210</v>
      </c>
      <c r="B59" s="160" t="s">
        <v>571</v>
      </c>
      <c r="C59" s="160" t="s">
        <v>9155</v>
      </c>
      <c r="D59" s="161">
        <v>9781799824169</v>
      </c>
      <c r="E59" s="161">
        <v>9781799824145</v>
      </c>
      <c r="F59" s="160" t="s">
        <v>9077</v>
      </c>
      <c r="G59" s="160">
        <v>1</v>
      </c>
      <c r="H59" s="160" t="s">
        <v>6518</v>
      </c>
      <c r="I59" s="160" t="s">
        <v>9078</v>
      </c>
      <c r="J59" s="160" t="s">
        <v>569</v>
      </c>
      <c r="K59" s="160">
        <v>2021</v>
      </c>
      <c r="L59" s="160" t="s">
        <v>9139</v>
      </c>
      <c r="M59" s="168" t="s">
        <v>9079</v>
      </c>
      <c r="N59" s="162"/>
      <c r="O59" s="162"/>
      <c r="P59" s="162"/>
      <c r="Q59" s="162"/>
      <c r="R59" s="162"/>
      <c r="S59" s="162"/>
    </row>
    <row r="60" spans="1:19" ht="16.350000000000001" customHeight="1">
      <c r="A60" s="167">
        <v>212</v>
      </c>
      <c r="B60" s="160" t="s">
        <v>571</v>
      </c>
      <c r="C60" s="160" t="s">
        <v>9155</v>
      </c>
      <c r="D60" s="161">
        <v>9781799830979</v>
      </c>
      <c r="E60" s="161">
        <v>9781799830955</v>
      </c>
      <c r="F60" s="160" t="s">
        <v>9083</v>
      </c>
      <c r="G60" s="160">
        <v>1</v>
      </c>
      <c r="H60" s="160" t="s">
        <v>6518</v>
      </c>
      <c r="I60" s="160" t="s">
        <v>9084</v>
      </c>
      <c r="J60" s="160" t="s">
        <v>1233</v>
      </c>
      <c r="K60" s="160">
        <v>2020</v>
      </c>
      <c r="L60" s="160" t="s">
        <v>9139</v>
      </c>
      <c r="M60" s="168" t="s">
        <v>9085</v>
      </c>
      <c r="N60" s="162"/>
      <c r="O60" s="162"/>
      <c r="P60" s="162"/>
      <c r="Q60" s="162"/>
      <c r="R60" s="162"/>
      <c r="S60" s="162"/>
    </row>
    <row r="61" spans="1:19" ht="16.350000000000001" customHeight="1">
      <c r="A61" s="167">
        <v>213</v>
      </c>
      <c r="B61" s="160" t="s">
        <v>571</v>
      </c>
      <c r="C61" s="160" t="s">
        <v>9155</v>
      </c>
      <c r="D61" s="161">
        <v>9781799832973</v>
      </c>
      <c r="E61" s="161">
        <v>9781799832959</v>
      </c>
      <c r="F61" s="160" t="s">
        <v>9086</v>
      </c>
      <c r="G61" s="160">
        <v>1</v>
      </c>
      <c r="H61" s="160" t="s">
        <v>6518</v>
      </c>
      <c r="I61" s="160" t="s">
        <v>9087</v>
      </c>
      <c r="J61" s="160" t="s">
        <v>1233</v>
      </c>
      <c r="K61" s="160">
        <v>2021</v>
      </c>
      <c r="L61" s="160" t="s">
        <v>9139</v>
      </c>
      <c r="M61" s="168" t="s">
        <v>9088</v>
      </c>
      <c r="N61" s="162"/>
      <c r="O61" s="162"/>
      <c r="P61" s="162"/>
      <c r="Q61" s="162"/>
      <c r="R61" s="162"/>
      <c r="S61" s="162"/>
    </row>
    <row r="62" spans="1:19" ht="16.350000000000001" customHeight="1">
      <c r="A62" s="167">
        <v>214</v>
      </c>
      <c r="B62" s="160" t="s">
        <v>571</v>
      </c>
      <c r="C62" s="160" t="s">
        <v>9155</v>
      </c>
      <c r="D62" s="161">
        <v>9781799827665</v>
      </c>
      <c r="E62" s="161">
        <v>9781799827641</v>
      </c>
      <c r="F62" s="160" t="s">
        <v>9089</v>
      </c>
      <c r="G62" s="160">
        <v>1</v>
      </c>
      <c r="H62" s="160" t="s">
        <v>6518</v>
      </c>
      <c r="I62" s="160" t="s">
        <v>9073</v>
      </c>
      <c r="J62" s="160" t="s">
        <v>1233</v>
      </c>
      <c r="K62" s="160">
        <v>2021</v>
      </c>
      <c r="L62" s="160" t="s">
        <v>9139</v>
      </c>
      <c r="M62" s="168" t="s">
        <v>9090</v>
      </c>
      <c r="N62" s="162"/>
      <c r="O62" s="162"/>
      <c r="P62" s="162"/>
      <c r="Q62" s="162"/>
      <c r="R62" s="162"/>
      <c r="S62" s="162"/>
    </row>
    <row r="63" spans="1:19" ht="16.350000000000001" customHeight="1">
      <c r="A63" s="167">
        <v>215</v>
      </c>
      <c r="B63" s="160" t="s">
        <v>571</v>
      </c>
      <c r="C63" s="160" t="s">
        <v>9155</v>
      </c>
      <c r="D63" s="161">
        <v>9781799834465</v>
      </c>
      <c r="E63" s="161">
        <v>9781799834441</v>
      </c>
      <c r="F63" s="160" t="s">
        <v>9091</v>
      </c>
      <c r="G63" s="160">
        <v>1</v>
      </c>
      <c r="H63" s="160" t="s">
        <v>6518</v>
      </c>
      <c r="I63" s="160" t="s">
        <v>9092</v>
      </c>
      <c r="J63" s="160" t="s">
        <v>569</v>
      </c>
      <c r="K63" s="160">
        <v>2021</v>
      </c>
      <c r="L63" s="160" t="s">
        <v>9139</v>
      </c>
      <c r="M63" s="168" t="s">
        <v>9093</v>
      </c>
      <c r="N63" s="162"/>
      <c r="O63" s="162"/>
      <c r="P63" s="162"/>
      <c r="Q63" s="162"/>
      <c r="R63" s="162"/>
      <c r="S63" s="162"/>
    </row>
    <row r="64" spans="1:19" ht="16.350000000000001" customHeight="1">
      <c r="A64" s="167">
        <v>216</v>
      </c>
      <c r="B64" s="160" t="s">
        <v>571</v>
      </c>
      <c r="C64" s="160" t="s">
        <v>9155</v>
      </c>
      <c r="D64" s="161">
        <v>9781799832249</v>
      </c>
      <c r="E64" s="161">
        <v>9781799832225</v>
      </c>
      <c r="F64" s="160" t="s">
        <v>9094</v>
      </c>
      <c r="G64" s="160">
        <v>1</v>
      </c>
      <c r="H64" s="160" t="s">
        <v>6518</v>
      </c>
      <c r="I64" s="160" t="s">
        <v>9095</v>
      </c>
      <c r="J64" s="160" t="s">
        <v>1233</v>
      </c>
      <c r="K64" s="160">
        <v>2020</v>
      </c>
      <c r="L64" s="160" t="s">
        <v>9139</v>
      </c>
      <c r="M64" s="168" t="s">
        <v>9096</v>
      </c>
      <c r="N64" s="162"/>
      <c r="O64" s="162"/>
      <c r="P64" s="162"/>
      <c r="Q64" s="162"/>
      <c r="R64" s="162"/>
      <c r="S64" s="162"/>
    </row>
    <row r="65" spans="1:19" ht="16.350000000000001" customHeight="1">
      <c r="A65" s="167">
        <v>217</v>
      </c>
      <c r="B65" s="160" t="s">
        <v>571</v>
      </c>
      <c r="C65" s="160" t="s">
        <v>9155</v>
      </c>
      <c r="D65" s="161">
        <v>9781799836346</v>
      </c>
      <c r="E65" s="161">
        <v>9781799836322</v>
      </c>
      <c r="F65" s="160" t="s">
        <v>9097</v>
      </c>
      <c r="G65" s="160">
        <v>1</v>
      </c>
      <c r="H65" s="160" t="s">
        <v>6518</v>
      </c>
      <c r="I65" s="160" t="s">
        <v>9098</v>
      </c>
      <c r="J65" s="160" t="s">
        <v>9099</v>
      </c>
      <c r="K65" s="160">
        <v>2020</v>
      </c>
      <c r="L65" s="160" t="s">
        <v>9139</v>
      </c>
      <c r="M65" s="168" t="s">
        <v>9100</v>
      </c>
      <c r="N65" s="162"/>
      <c r="O65" s="162"/>
      <c r="P65" s="162"/>
      <c r="Q65" s="162"/>
      <c r="R65" s="162"/>
      <c r="S65" s="162"/>
    </row>
    <row r="66" spans="1:19" ht="16.350000000000001" customHeight="1">
      <c r="A66" s="167">
        <v>219</v>
      </c>
      <c r="B66" s="160" t="s">
        <v>571</v>
      </c>
      <c r="C66" s="160" t="s">
        <v>9155</v>
      </c>
      <c r="D66" s="161">
        <v>9781799835011</v>
      </c>
      <c r="E66" s="161">
        <v>9781799834991</v>
      </c>
      <c r="F66" s="160" t="s">
        <v>9104</v>
      </c>
      <c r="G66" s="160">
        <v>1</v>
      </c>
      <c r="H66" s="160" t="s">
        <v>6518</v>
      </c>
      <c r="I66" s="160" t="s">
        <v>9105</v>
      </c>
      <c r="J66" s="160" t="s">
        <v>1233</v>
      </c>
      <c r="K66" s="160">
        <v>2021</v>
      </c>
      <c r="L66" s="160" t="s">
        <v>9139</v>
      </c>
      <c r="M66" s="168" t="s">
        <v>9106</v>
      </c>
      <c r="N66" s="162"/>
      <c r="O66" s="162"/>
      <c r="P66" s="162"/>
      <c r="Q66" s="162"/>
      <c r="R66" s="162"/>
      <c r="S66" s="162"/>
    </row>
    <row r="67" spans="1:19" ht="16.350000000000001" customHeight="1">
      <c r="A67" s="167">
        <v>220</v>
      </c>
      <c r="B67" s="160" t="s">
        <v>571</v>
      </c>
      <c r="C67" s="160" t="s">
        <v>9155</v>
      </c>
      <c r="D67" s="161">
        <v>9781799827979</v>
      </c>
      <c r="E67" s="161">
        <v>9781799827955</v>
      </c>
      <c r="F67" s="160" t="s">
        <v>9107</v>
      </c>
      <c r="G67" s="160">
        <v>1</v>
      </c>
      <c r="H67" s="160" t="s">
        <v>6518</v>
      </c>
      <c r="I67" s="160" t="s">
        <v>7298</v>
      </c>
      <c r="J67" s="160" t="s">
        <v>569</v>
      </c>
      <c r="K67" s="160">
        <v>2021</v>
      </c>
      <c r="L67" s="160" t="s">
        <v>9139</v>
      </c>
      <c r="M67" s="168" t="s">
        <v>9108</v>
      </c>
      <c r="N67" s="162"/>
      <c r="O67" s="162"/>
      <c r="P67" s="162"/>
      <c r="Q67" s="162"/>
      <c r="R67" s="162"/>
      <c r="S67" s="162"/>
    </row>
    <row r="68" spans="1:19" ht="16.350000000000001" customHeight="1">
      <c r="A68" s="167">
        <v>221</v>
      </c>
      <c r="B68" s="160" t="s">
        <v>571</v>
      </c>
      <c r="C68" s="160" t="s">
        <v>9155</v>
      </c>
      <c r="D68" s="161">
        <v>9781799838005</v>
      </c>
      <c r="E68" s="161">
        <v>9781799837992</v>
      </c>
      <c r="F68" s="160" t="s">
        <v>9109</v>
      </c>
      <c r="G68" s="160">
        <v>1</v>
      </c>
      <c r="H68" s="160" t="s">
        <v>6518</v>
      </c>
      <c r="I68" s="160" t="s">
        <v>9110</v>
      </c>
      <c r="J68" s="160" t="s">
        <v>1233</v>
      </c>
      <c r="K68" s="160">
        <v>2021</v>
      </c>
      <c r="L68" s="160" t="s">
        <v>9139</v>
      </c>
      <c r="M68" s="168" t="s">
        <v>9111</v>
      </c>
      <c r="N68" s="162"/>
      <c r="O68" s="162"/>
      <c r="P68" s="162"/>
      <c r="Q68" s="162"/>
      <c r="R68" s="162"/>
      <c r="S68" s="162"/>
    </row>
    <row r="69" spans="1:19" ht="16.350000000000001" customHeight="1">
      <c r="A69" s="167">
        <v>222</v>
      </c>
      <c r="B69" s="160" t="s">
        <v>571</v>
      </c>
      <c r="C69" s="160" t="s">
        <v>9155</v>
      </c>
      <c r="D69" s="161">
        <v>9781799840435</v>
      </c>
      <c r="E69" s="161">
        <v>9781799840428</v>
      </c>
      <c r="F69" s="160" t="s">
        <v>9112</v>
      </c>
      <c r="G69" s="160">
        <v>1</v>
      </c>
      <c r="H69" s="160" t="s">
        <v>6518</v>
      </c>
      <c r="I69" s="160" t="s">
        <v>9113</v>
      </c>
      <c r="J69" s="160" t="s">
        <v>1233</v>
      </c>
      <c r="K69" s="160">
        <v>2021</v>
      </c>
      <c r="L69" s="160" t="s">
        <v>9139</v>
      </c>
      <c r="M69" s="168" t="s">
        <v>9114</v>
      </c>
      <c r="N69" s="162"/>
      <c r="O69" s="162"/>
      <c r="P69" s="162"/>
      <c r="Q69" s="162"/>
      <c r="R69" s="162"/>
      <c r="S69" s="162"/>
    </row>
    <row r="70" spans="1:19" ht="16.350000000000001" customHeight="1">
      <c r="A70" s="167">
        <v>223</v>
      </c>
      <c r="B70" s="160" t="s">
        <v>571</v>
      </c>
      <c r="C70" s="160" t="s">
        <v>9155</v>
      </c>
      <c r="D70" s="161">
        <v>9781799841982</v>
      </c>
      <c r="E70" s="161">
        <v>9781799841982</v>
      </c>
      <c r="F70" s="160" t="s">
        <v>9115</v>
      </c>
      <c r="G70" s="160">
        <v>1</v>
      </c>
      <c r="H70" s="160" t="s">
        <v>6518</v>
      </c>
      <c r="I70" s="160" t="s">
        <v>9116</v>
      </c>
      <c r="J70" s="160" t="s">
        <v>568</v>
      </c>
      <c r="K70" s="160">
        <v>2021</v>
      </c>
      <c r="L70" s="160" t="s">
        <v>9139</v>
      </c>
      <c r="M70" s="168" t="s">
        <v>9117</v>
      </c>
      <c r="N70" s="162"/>
      <c r="O70" s="162"/>
      <c r="P70" s="162"/>
      <c r="Q70" s="162"/>
      <c r="R70" s="162"/>
      <c r="S70" s="162"/>
    </row>
    <row r="71" spans="1:19" ht="16.350000000000001" customHeight="1">
      <c r="A71" s="167">
        <v>224</v>
      </c>
      <c r="B71" s="160" t="s">
        <v>571</v>
      </c>
      <c r="C71" s="160" t="s">
        <v>9155</v>
      </c>
      <c r="D71" s="161">
        <v>9781799844457</v>
      </c>
      <c r="E71" s="161">
        <v>9781799844440</v>
      </c>
      <c r="F71" s="160" t="s">
        <v>9118</v>
      </c>
      <c r="G71" s="160">
        <v>1</v>
      </c>
      <c r="H71" s="160" t="s">
        <v>6518</v>
      </c>
      <c r="I71" s="160" t="s">
        <v>1826</v>
      </c>
      <c r="J71" s="160" t="s">
        <v>1233</v>
      </c>
      <c r="K71" s="160">
        <v>2020</v>
      </c>
      <c r="L71" s="160" t="s">
        <v>9139</v>
      </c>
      <c r="M71" s="168" t="s">
        <v>9119</v>
      </c>
      <c r="N71" s="162"/>
      <c r="O71" s="162"/>
      <c r="P71" s="162"/>
      <c r="Q71" s="162"/>
      <c r="R71" s="162"/>
      <c r="S71" s="162"/>
    </row>
    <row r="72" spans="1:19" ht="16.350000000000001" customHeight="1">
      <c r="A72" s="167">
        <v>226</v>
      </c>
      <c r="B72" s="160" t="s">
        <v>571</v>
      </c>
      <c r="C72" s="160" t="s">
        <v>9155</v>
      </c>
      <c r="D72" s="161">
        <v>9781799850694</v>
      </c>
      <c r="E72" s="161">
        <v>9781799850687</v>
      </c>
      <c r="F72" s="160" t="s">
        <v>9123</v>
      </c>
      <c r="G72" s="160">
        <v>1</v>
      </c>
      <c r="H72" s="160" t="s">
        <v>6518</v>
      </c>
      <c r="I72" s="160" t="s">
        <v>9124</v>
      </c>
      <c r="J72" s="160" t="s">
        <v>569</v>
      </c>
      <c r="K72" s="160">
        <v>2020</v>
      </c>
      <c r="L72" s="160" t="s">
        <v>9139</v>
      </c>
      <c r="M72" s="168" t="s">
        <v>9125</v>
      </c>
      <c r="N72" s="162"/>
      <c r="O72" s="162"/>
      <c r="P72" s="162"/>
      <c r="Q72" s="162"/>
      <c r="R72" s="162"/>
      <c r="S72" s="162"/>
    </row>
    <row r="73" spans="1:19" ht="16.350000000000001" customHeight="1">
      <c r="A73" s="167">
        <v>227</v>
      </c>
      <c r="B73" s="160" t="s">
        <v>571</v>
      </c>
      <c r="C73" s="160" t="s">
        <v>9155</v>
      </c>
      <c r="D73" s="161">
        <v>9781799850724</v>
      </c>
      <c r="E73" s="161">
        <v>9781799850717</v>
      </c>
      <c r="F73" s="160" t="s">
        <v>9126</v>
      </c>
      <c r="G73" s="160">
        <v>1</v>
      </c>
      <c r="H73" s="160" t="s">
        <v>6518</v>
      </c>
      <c r="I73" s="160" t="s">
        <v>9127</v>
      </c>
      <c r="J73" s="160" t="s">
        <v>561</v>
      </c>
      <c r="K73" s="160">
        <v>2021</v>
      </c>
      <c r="L73" s="160" t="s">
        <v>9139</v>
      </c>
      <c r="M73" s="168" t="s">
        <v>9128</v>
      </c>
      <c r="N73" s="162"/>
      <c r="O73" s="162"/>
      <c r="P73" s="162"/>
      <c r="Q73" s="162"/>
      <c r="R73" s="162"/>
      <c r="S73" s="162"/>
    </row>
    <row r="74" spans="1:19" ht="16.350000000000001" customHeight="1">
      <c r="A74" s="167">
        <v>163</v>
      </c>
      <c r="B74" s="160" t="s">
        <v>571</v>
      </c>
      <c r="C74" s="160" t="s">
        <v>9156</v>
      </c>
      <c r="D74" s="161">
        <v>9781466663800</v>
      </c>
      <c r="E74" s="161">
        <v>9781466663794</v>
      </c>
      <c r="F74" s="160" t="s">
        <v>8951</v>
      </c>
      <c r="G74" s="160">
        <v>1</v>
      </c>
      <c r="H74" s="160" t="s">
        <v>6518</v>
      </c>
      <c r="I74" s="160" t="s">
        <v>8952</v>
      </c>
      <c r="J74" s="160" t="s">
        <v>1233</v>
      </c>
      <c r="K74" s="160">
        <v>2015</v>
      </c>
      <c r="L74" s="160" t="s">
        <v>9139</v>
      </c>
      <c r="M74" s="168" t="s">
        <v>8953</v>
      </c>
      <c r="N74" s="162"/>
      <c r="O74" s="162"/>
      <c r="P74" s="162"/>
      <c r="Q74" s="162"/>
      <c r="R74" s="162"/>
      <c r="S74" s="162"/>
    </row>
    <row r="75" spans="1:19" ht="16.350000000000001" customHeight="1">
      <c r="A75" s="167">
        <v>165</v>
      </c>
      <c r="B75" s="160" t="s">
        <v>571</v>
      </c>
      <c r="C75" s="160" t="s">
        <v>9156</v>
      </c>
      <c r="D75" s="161">
        <v>9781522556268</v>
      </c>
      <c r="E75" s="161">
        <v>9781522556251</v>
      </c>
      <c r="F75" s="160" t="s">
        <v>8957</v>
      </c>
      <c r="G75" s="160">
        <v>1</v>
      </c>
      <c r="H75" s="160" t="s">
        <v>6518</v>
      </c>
      <c r="I75" s="160" t="s">
        <v>8958</v>
      </c>
      <c r="J75" s="160" t="s">
        <v>1233</v>
      </c>
      <c r="K75" s="160">
        <v>2018</v>
      </c>
      <c r="L75" s="160" t="s">
        <v>9139</v>
      </c>
      <c r="M75" s="168" t="s">
        <v>8959</v>
      </c>
      <c r="N75" s="162"/>
      <c r="O75" s="162"/>
      <c r="P75" s="162"/>
      <c r="Q75" s="162"/>
      <c r="R75" s="162"/>
      <c r="S75" s="162"/>
    </row>
    <row r="76" spans="1:19" ht="16.350000000000001" customHeight="1">
      <c r="A76" s="167">
        <v>170</v>
      </c>
      <c r="B76" s="160" t="s">
        <v>571</v>
      </c>
      <c r="C76" s="160" t="s">
        <v>9156</v>
      </c>
      <c r="D76" s="161">
        <v>9781522557104</v>
      </c>
      <c r="E76" s="161">
        <v>9781522557098</v>
      </c>
      <c r="F76" s="160" t="s">
        <v>8968</v>
      </c>
      <c r="G76" s="160">
        <v>1</v>
      </c>
      <c r="H76" s="160" t="s">
        <v>6518</v>
      </c>
      <c r="I76" s="160" t="s">
        <v>6735</v>
      </c>
      <c r="J76" s="160" t="s">
        <v>1233</v>
      </c>
      <c r="K76" s="160">
        <v>2019</v>
      </c>
      <c r="L76" s="160" t="s">
        <v>9139</v>
      </c>
      <c r="M76" s="168" t="s">
        <v>8969</v>
      </c>
      <c r="N76" s="162"/>
      <c r="O76" s="162"/>
      <c r="P76" s="162"/>
      <c r="Q76" s="162"/>
      <c r="R76" s="162"/>
      <c r="S76" s="162"/>
    </row>
    <row r="77" spans="1:19" ht="16.350000000000001" customHeight="1">
      <c r="A77" s="167">
        <v>175</v>
      </c>
      <c r="B77" s="160" t="s">
        <v>571</v>
      </c>
      <c r="C77" s="160" t="s">
        <v>9156</v>
      </c>
      <c r="D77" s="161">
        <v>9781522592778</v>
      </c>
      <c r="E77" s="161">
        <v>9781522592761</v>
      </c>
      <c r="F77" s="160" t="s">
        <v>8982</v>
      </c>
      <c r="G77" s="160">
        <v>1</v>
      </c>
      <c r="H77" s="160" t="s">
        <v>6518</v>
      </c>
      <c r="I77" s="160" t="s">
        <v>3446</v>
      </c>
      <c r="J77" s="160" t="s">
        <v>1233</v>
      </c>
      <c r="K77" s="160">
        <v>2020</v>
      </c>
      <c r="L77" s="160" t="s">
        <v>9139</v>
      </c>
      <c r="M77" s="168" t="s">
        <v>8983</v>
      </c>
      <c r="N77" s="162"/>
      <c r="O77" s="162"/>
      <c r="P77" s="162"/>
      <c r="Q77" s="162"/>
      <c r="R77" s="162"/>
      <c r="S77" s="162"/>
    </row>
    <row r="78" spans="1:19" ht="16.350000000000001" customHeight="1">
      <c r="A78" s="167">
        <v>176</v>
      </c>
      <c r="B78" s="160" t="s">
        <v>571</v>
      </c>
      <c r="C78" s="160" t="s">
        <v>9156</v>
      </c>
      <c r="D78" s="161">
        <v>9781522597568</v>
      </c>
      <c r="E78" s="161">
        <v>9781522597544</v>
      </c>
      <c r="F78" s="160" t="s">
        <v>8984</v>
      </c>
      <c r="G78" s="160">
        <v>1</v>
      </c>
      <c r="H78" s="160" t="s">
        <v>6518</v>
      </c>
      <c r="I78" s="160" t="s">
        <v>8985</v>
      </c>
      <c r="J78" s="160" t="s">
        <v>1233</v>
      </c>
      <c r="K78" s="160">
        <v>2020</v>
      </c>
      <c r="L78" s="160" t="s">
        <v>9139</v>
      </c>
      <c r="M78" s="168" t="s">
        <v>8986</v>
      </c>
      <c r="N78" s="162"/>
      <c r="O78" s="162"/>
      <c r="P78" s="162"/>
      <c r="Q78" s="162"/>
      <c r="R78" s="162"/>
      <c r="S78" s="162"/>
    </row>
    <row r="79" spans="1:19" ht="16.350000000000001" customHeight="1">
      <c r="A79" s="167">
        <v>195</v>
      </c>
      <c r="B79" s="160" t="s">
        <v>571</v>
      </c>
      <c r="C79" s="160" t="s">
        <v>9156</v>
      </c>
      <c r="D79" s="161">
        <v>9781522599340</v>
      </c>
      <c r="E79" s="161">
        <v>9781522599326</v>
      </c>
      <c r="F79" s="160" t="s">
        <v>9034</v>
      </c>
      <c r="G79" s="160">
        <v>1</v>
      </c>
      <c r="H79" s="160" t="s">
        <v>6518</v>
      </c>
      <c r="I79" s="160" t="s">
        <v>9035</v>
      </c>
      <c r="J79" s="160" t="s">
        <v>1233</v>
      </c>
      <c r="K79" s="160">
        <v>2020</v>
      </c>
      <c r="L79" s="160" t="s">
        <v>9139</v>
      </c>
      <c r="M79" s="168" t="s">
        <v>9036</v>
      </c>
      <c r="N79" s="162"/>
      <c r="O79" s="162"/>
      <c r="P79" s="162"/>
      <c r="Q79" s="162"/>
      <c r="R79" s="162"/>
      <c r="S79" s="162"/>
    </row>
    <row r="80" spans="1:19" ht="16.350000000000001" customHeight="1">
      <c r="A80" s="167">
        <v>174</v>
      </c>
      <c r="B80" s="160" t="s">
        <v>571</v>
      </c>
      <c r="C80" s="160" t="s">
        <v>9157</v>
      </c>
      <c r="D80" s="161">
        <v>9781522580348</v>
      </c>
      <c r="E80" s="161">
        <v>9781522580331</v>
      </c>
      <c r="F80" s="160" t="s">
        <v>8979</v>
      </c>
      <c r="G80" s="160">
        <v>1</v>
      </c>
      <c r="H80" s="160" t="s">
        <v>6518</v>
      </c>
      <c r="I80" s="160" t="s">
        <v>8980</v>
      </c>
      <c r="J80" s="160" t="s">
        <v>1233</v>
      </c>
      <c r="K80" s="160">
        <v>2020</v>
      </c>
      <c r="L80" s="160" t="s">
        <v>9139</v>
      </c>
      <c r="M80" s="168" t="s">
        <v>8981</v>
      </c>
      <c r="N80" s="162"/>
      <c r="O80" s="162"/>
      <c r="P80" s="162"/>
      <c r="Q80" s="162"/>
      <c r="R80" s="162"/>
      <c r="S80" s="162"/>
    </row>
    <row r="81" spans="1:19" ht="16.350000000000001" customHeight="1">
      <c r="A81" s="167">
        <v>177</v>
      </c>
      <c r="B81" s="160" t="s">
        <v>571</v>
      </c>
      <c r="C81" s="160" t="s">
        <v>9158</v>
      </c>
      <c r="D81" s="161">
        <v>9781522597735</v>
      </c>
      <c r="E81" s="161">
        <v>9781522597711</v>
      </c>
      <c r="F81" s="160" t="s">
        <v>8987</v>
      </c>
      <c r="G81" s="160">
        <v>1</v>
      </c>
      <c r="H81" s="160" t="s">
        <v>6518</v>
      </c>
      <c r="I81" s="160" t="s">
        <v>8234</v>
      </c>
      <c r="J81" s="160" t="s">
        <v>1233</v>
      </c>
      <c r="K81" s="160">
        <v>2020</v>
      </c>
      <c r="L81" s="160" t="s">
        <v>9139</v>
      </c>
      <c r="M81" s="168" t="s">
        <v>8988</v>
      </c>
      <c r="N81" s="162"/>
      <c r="O81" s="162"/>
      <c r="P81" s="162"/>
      <c r="Q81" s="162"/>
      <c r="R81" s="162"/>
      <c r="S81" s="162"/>
    </row>
    <row r="82" spans="1:19" ht="16.350000000000001" customHeight="1">
      <c r="A82" s="167">
        <v>178</v>
      </c>
      <c r="B82" s="160" t="s">
        <v>571</v>
      </c>
      <c r="C82" s="160" t="s">
        <v>9158</v>
      </c>
      <c r="D82" s="161">
        <v>9781522594543</v>
      </c>
      <c r="E82" s="161">
        <v>9781522594529</v>
      </c>
      <c r="F82" s="160" t="s">
        <v>8989</v>
      </c>
      <c r="G82" s="160">
        <v>1</v>
      </c>
      <c r="H82" s="160" t="s">
        <v>6518</v>
      </c>
      <c r="I82" s="160" t="s">
        <v>8886</v>
      </c>
      <c r="J82" s="160" t="s">
        <v>1233</v>
      </c>
      <c r="K82" s="160">
        <v>2020</v>
      </c>
      <c r="L82" s="160" t="s">
        <v>9139</v>
      </c>
      <c r="M82" s="168" t="s">
        <v>8990</v>
      </c>
      <c r="N82" s="162"/>
      <c r="O82" s="162"/>
      <c r="P82" s="162"/>
      <c r="Q82" s="162"/>
      <c r="R82" s="162"/>
      <c r="S82" s="162"/>
    </row>
    <row r="83" spans="1:19" ht="16.350000000000001" customHeight="1">
      <c r="A83" s="167">
        <v>198</v>
      </c>
      <c r="B83" s="160" t="s">
        <v>571</v>
      </c>
      <c r="C83" s="160" t="s">
        <v>9158</v>
      </c>
      <c r="D83" s="161">
        <v>9781799812432</v>
      </c>
      <c r="E83" s="161">
        <v>9781799812418</v>
      </c>
      <c r="F83" s="160" t="s">
        <v>9043</v>
      </c>
      <c r="G83" s="160">
        <v>1</v>
      </c>
      <c r="H83" s="160" t="s">
        <v>6518</v>
      </c>
      <c r="I83" s="160" t="s">
        <v>9044</v>
      </c>
      <c r="J83" s="160" t="s">
        <v>1233</v>
      </c>
      <c r="K83" s="160">
        <v>2020</v>
      </c>
      <c r="L83" s="160" t="s">
        <v>9139</v>
      </c>
      <c r="M83" s="168" t="s">
        <v>9045</v>
      </c>
      <c r="N83" s="162"/>
      <c r="O83" s="162"/>
      <c r="P83" s="162"/>
      <c r="Q83" s="162"/>
      <c r="R83" s="162"/>
      <c r="S83" s="162"/>
    </row>
    <row r="84" spans="1:19" ht="16.350000000000001" customHeight="1">
      <c r="A84" s="167">
        <v>203</v>
      </c>
      <c r="B84" s="160" t="s">
        <v>571</v>
      </c>
      <c r="C84" s="160" t="s">
        <v>9158</v>
      </c>
      <c r="D84" s="161">
        <v>9781799818731</v>
      </c>
      <c r="E84" s="161">
        <v>9781799818717</v>
      </c>
      <c r="F84" s="160" t="s">
        <v>9058</v>
      </c>
      <c r="G84" s="160">
        <v>1</v>
      </c>
      <c r="H84" s="160" t="s">
        <v>6518</v>
      </c>
      <c r="I84" s="160" t="s">
        <v>9059</v>
      </c>
      <c r="J84" s="160" t="s">
        <v>1233</v>
      </c>
      <c r="K84" s="160">
        <v>2020</v>
      </c>
      <c r="L84" s="160" t="s">
        <v>9139</v>
      </c>
      <c r="M84" s="168" t="s">
        <v>9060</v>
      </c>
      <c r="N84" s="162"/>
      <c r="O84" s="162"/>
      <c r="P84" s="162"/>
      <c r="Q84" s="162"/>
      <c r="R84" s="162"/>
      <c r="S84" s="162"/>
    </row>
    <row r="85" spans="1:19" ht="16.350000000000001" customHeight="1">
      <c r="A85" s="167">
        <v>204</v>
      </c>
      <c r="B85" s="160" t="s">
        <v>571</v>
      </c>
      <c r="C85" s="160" t="s">
        <v>9158</v>
      </c>
      <c r="D85" s="161">
        <v>9781799819684</v>
      </c>
      <c r="E85" s="161">
        <v>9781799819660</v>
      </c>
      <c r="F85" s="160" t="s">
        <v>9061</v>
      </c>
      <c r="G85" s="160">
        <v>1</v>
      </c>
      <c r="H85" s="160" t="s">
        <v>6518</v>
      </c>
      <c r="I85" s="160" t="s">
        <v>9062</v>
      </c>
      <c r="J85" s="160" t="s">
        <v>1233</v>
      </c>
      <c r="K85" s="160">
        <v>2020</v>
      </c>
      <c r="L85" s="160" t="s">
        <v>9139</v>
      </c>
      <c r="M85" s="168" t="s">
        <v>9063</v>
      </c>
      <c r="N85" s="162"/>
      <c r="O85" s="162"/>
      <c r="P85" s="162"/>
      <c r="Q85" s="162"/>
      <c r="R85" s="162"/>
      <c r="S85" s="162"/>
    </row>
    <row r="86" spans="1:19" ht="16.350000000000001" customHeight="1">
      <c r="A86" s="167">
        <v>225</v>
      </c>
      <c r="B86" s="160" t="s">
        <v>571</v>
      </c>
      <c r="C86" s="160" t="s">
        <v>9158</v>
      </c>
      <c r="D86" s="161">
        <v>9781799848899</v>
      </c>
      <c r="E86" s="161">
        <v>9781799848882</v>
      </c>
      <c r="F86" s="160" t="s">
        <v>9120</v>
      </c>
      <c r="G86" s="160">
        <v>1</v>
      </c>
      <c r="H86" s="160" t="s">
        <v>6518</v>
      </c>
      <c r="I86" s="160" t="s">
        <v>9121</v>
      </c>
      <c r="J86" s="160" t="s">
        <v>1233</v>
      </c>
      <c r="K86" s="160">
        <v>2021</v>
      </c>
      <c r="L86" s="160" t="s">
        <v>9139</v>
      </c>
      <c r="M86" s="168" t="s">
        <v>9122</v>
      </c>
      <c r="N86" s="162"/>
      <c r="O86" s="162"/>
      <c r="P86" s="162"/>
      <c r="Q86" s="162"/>
      <c r="R86" s="162"/>
      <c r="S86" s="162"/>
    </row>
    <row r="87" spans="1:19" ht="16.350000000000001" customHeight="1">
      <c r="A87" s="167">
        <v>185</v>
      </c>
      <c r="B87" s="160" t="s">
        <v>571</v>
      </c>
      <c r="C87" s="160" t="s">
        <v>9159</v>
      </c>
      <c r="D87" s="161">
        <v>9781799801184</v>
      </c>
      <c r="E87" s="161">
        <v>9781799801177</v>
      </c>
      <c r="F87" s="160" t="s">
        <v>9007</v>
      </c>
      <c r="G87" s="160">
        <v>1</v>
      </c>
      <c r="H87" s="160" t="s">
        <v>6518</v>
      </c>
      <c r="I87" s="160" t="s">
        <v>8364</v>
      </c>
      <c r="J87" s="160" t="s">
        <v>1233</v>
      </c>
      <c r="K87" s="160">
        <v>2020</v>
      </c>
      <c r="L87" s="160" t="s">
        <v>9139</v>
      </c>
      <c r="M87" s="168" t="s">
        <v>9008</v>
      </c>
      <c r="N87" s="162"/>
      <c r="O87" s="162"/>
      <c r="P87" s="162"/>
      <c r="Q87" s="162"/>
      <c r="R87" s="162"/>
      <c r="S87" s="162"/>
    </row>
    <row r="88" spans="1:19" ht="16.350000000000001" customHeight="1">
      <c r="A88" s="167">
        <v>180</v>
      </c>
      <c r="B88" s="160" t="s">
        <v>571</v>
      </c>
      <c r="C88" s="160" t="s">
        <v>9160</v>
      </c>
      <c r="D88" s="161">
        <v>9781522596257</v>
      </c>
      <c r="E88" s="161">
        <v>9781522596240</v>
      </c>
      <c r="F88" s="160" t="s">
        <v>8993</v>
      </c>
      <c r="G88" s="160">
        <v>1</v>
      </c>
      <c r="H88" s="160" t="s">
        <v>6518</v>
      </c>
      <c r="I88" s="160" t="s">
        <v>3446</v>
      </c>
      <c r="J88" s="160" t="s">
        <v>1233</v>
      </c>
      <c r="K88" s="160">
        <v>2020</v>
      </c>
      <c r="L88" s="160" t="s">
        <v>9139</v>
      </c>
      <c r="M88" s="168" t="s">
        <v>8994</v>
      </c>
      <c r="N88" s="162"/>
      <c r="O88" s="162"/>
      <c r="P88" s="162"/>
      <c r="Q88" s="162"/>
      <c r="R88" s="162"/>
      <c r="S88" s="162"/>
    </row>
    <row r="89" spans="1:19" ht="16.350000000000001" customHeight="1">
      <c r="A89" s="167">
        <v>202</v>
      </c>
      <c r="B89" s="160" t="s">
        <v>571</v>
      </c>
      <c r="C89" s="160" t="s">
        <v>9160</v>
      </c>
      <c r="D89" s="161">
        <v>9781799817123</v>
      </c>
      <c r="E89" s="161">
        <v>9781799817109</v>
      </c>
      <c r="F89" s="160" t="s">
        <v>9055</v>
      </c>
      <c r="G89" s="160">
        <v>1</v>
      </c>
      <c r="H89" s="160" t="s">
        <v>6518</v>
      </c>
      <c r="I89" s="160" t="s">
        <v>9056</v>
      </c>
      <c r="J89" s="160" t="s">
        <v>1233</v>
      </c>
      <c r="K89" s="160">
        <v>2020</v>
      </c>
      <c r="L89" s="160" t="s">
        <v>9139</v>
      </c>
      <c r="M89" s="168" t="s">
        <v>9057</v>
      </c>
      <c r="N89" s="162"/>
      <c r="O89" s="162"/>
      <c r="P89" s="162"/>
      <c r="Q89" s="162"/>
      <c r="R89" s="162"/>
      <c r="S89" s="162"/>
    </row>
    <row r="90" spans="1:19" ht="16.350000000000001" customHeight="1">
      <c r="A90" s="167">
        <v>211</v>
      </c>
      <c r="B90" s="160" t="s">
        <v>571</v>
      </c>
      <c r="C90" s="160" t="s">
        <v>9160</v>
      </c>
      <c r="D90" s="161">
        <v>9781799827733</v>
      </c>
      <c r="E90" s="161">
        <v>9781799827726</v>
      </c>
      <c r="F90" s="160" t="s">
        <v>9080</v>
      </c>
      <c r="G90" s="160">
        <v>1</v>
      </c>
      <c r="H90" s="160" t="s">
        <v>6518</v>
      </c>
      <c r="I90" s="160" t="s">
        <v>9081</v>
      </c>
      <c r="J90" s="160" t="s">
        <v>1233</v>
      </c>
      <c r="K90" s="160">
        <v>2020</v>
      </c>
      <c r="L90" s="160" t="s">
        <v>9139</v>
      </c>
      <c r="M90" s="168" t="s">
        <v>9082</v>
      </c>
      <c r="N90" s="162"/>
      <c r="O90" s="162"/>
      <c r="P90" s="162"/>
      <c r="Q90" s="162"/>
      <c r="R90" s="162"/>
      <c r="S90" s="162"/>
    </row>
    <row r="91" spans="1:19" ht="16.350000000000001" customHeight="1">
      <c r="A91" s="167">
        <v>168</v>
      </c>
      <c r="B91" s="160" t="s">
        <v>571</v>
      </c>
      <c r="C91" s="160" t="s">
        <v>9161</v>
      </c>
      <c r="D91" s="161">
        <v>9781522583660</v>
      </c>
      <c r="E91" s="161">
        <v>9781522583653</v>
      </c>
      <c r="F91" s="160" t="s">
        <v>8964</v>
      </c>
      <c r="G91" s="160">
        <v>1</v>
      </c>
      <c r="H91" s="160" t="s">
        <v>6518</v>
      </c>
      <c r="I91" s="160" t="s">
        <v>3446</v>
      </c>
      <c r="J91" s="160" t="s">
        <v>1233</v>
      </c>
      <c r="K91" s="160">
        <v>2019</v>
      </c>
      <c r="L91" s="160" t="s">
        <v>9139</v>
      </c>
      <c r="M91" s="168" t="s">
        <v>8965</v>
      </c>
      <c r="N91" s="162"/>
      <c r="O91" s="162"/>
      <c r="P91" s="162"/>
      <c r="Q91" s="162"/>
      <c r="R91" s="162"/>
      <c r="S91" s="162"/>
    </row>
    <row r="92" spans="1:19" ht="16.350000000000001" customHeight="1">
      <c r="A92" s="167">
        <v>187</v>
      </c>
      <c r="B92" s="160" t="s">
        <v>571</v>
      </c>
      <c r="C92" s="160" t="s">
        <v>9161</v>
      </c>
      <c r="D92" s="161">
        <v>9781799814177</v>
      </c>
      <c r="E92" s="161">
        <v>9781799814153</v>
      </c>
      <c r="F92" s="160" t="s">
        <v>9012</v>
      </c>
      <c r="G92" s="160">
        <v>1</v>
      </c>
      <c r="H92" s="160" t="s">
        <v>6518</v>
      </c>
      <c r="I92" s="160" t="s">
        <v>9013</v>
      </c>
      <c r="J92" s="160" t="s">
        <v>1233</v>
      </c>
      <c r="K92" s="160">
        <v>2020</v>
      </c>
      <c r="L92" s="160" t="s">
        <v>9139</v>
      </c>
      <c r="M92" s="168" t="s">
        <v>9014</v>
      </c>
      <c r="N92" s="162"/>
      <c r="O92" s="162"/>
      <c r="P92" s="162"/>
      <c r="Q92" s="162"/>
      <c r="R92" s="162"/>
      <c r="S92" s="162"/>
    </row>
    <row r="93" spans="1:19" ht="16.350000000000001" customHeight="1">
      <c r="A93" s="167">
        <v>191</v>
      </c>
      <c r="B93" s="160" t="s">
        <v>571</v>
      </c>
      <c r="C93" s="160" t="s">
        <v>9162</v>
      </c>
      <c r="D93" s="161">
        <v>9781799815488</v>
      </c>
      <c r="E93" s="161">
        <v>9781799815464</v>
      </c>
      <c r="F93" s="160" t="s">
        <v>9024</v>
      </c>
      <c r="G93" s="160">
        <v>1</v>
      </c>
      <c r="H93" s="160" t="s">
        <v>6518</v>
      </c>
      <c r="I93" s="160" t="s">
        <v>9025</v>
      </c>
      <c r="J93" s="160" t="s">
        <v>1233</v>
      </c>
      <c r="K93" s="160">
        <v>2020</v>
      </c>
      <c r="L93" s="160" t="s">
        <v>9139</v>
      </c>
      <c r="M93" s="168" t="s">
        <v>9026</v>
      </c>
      <c r="N93" s="162"/>
      <c r="O93" s="162"/>
      <c r="P93" s="162"/>
      <c r="Q93" s="162"/>
      <c r="R93" s="162"/>
      <c r="S93" s="162"/>
    </row>
    <row r="94" spans="1:19" ht="16.350000000000001" customHeight="1">
      <c r="A94" s="167">
        <v>57</v>
      </c>
      <c r="B94" s="160" t="s">
        <v>5071</v>
      </c>
      <c r="C94" s="160" t="s">
        <v>9180</v>
      </c>
      <c r="D94" s="161">
        <v>9781799801306</v>
      </c>
      <c r="E94" s="161">
        <v>9781799801283</v>
      </c>
      <c r="F94" s="160" t="s">
        <v>8653</v>
      </c>
      <c r="G94" s="160">
        <v>1</v>
      </c>
      <c r="H94" s="160" t="s">
        <v>6518</v>
      </c>
      <c r="I94" s="160" t="s">
        <v>8654</v>
      </c>
      <c r="J94" s="160" t="s">
        <v>569</v>
      </c>
      <c r="K94" s="160">
        <v>2020</v>
      </c>
      <c r="L94" s="160" t="s">
        <v>9139</v>
      </c>
      <c r="M94" s="168" t="s">
        <v>8655</v>
      </c>
      <c r="N94" s="162"/>
      <c r="O94" s="162"/>
      <c r="P94" s="162"/>
      <c r="Q94" s="162"/>
      <c r="R94" s="162"/>
      <c r="S94" s="162"/>
    </row>
    <row r="95" spans="1:19" ht="16.350000000000001" customHeight="1">
      <c r="A95" s="167">
        <v>35</v>
      </c>
      <c r="B95" s="160" t="s">
        <v>5071</v>
      </c>
      <c r="C95" s="160" t="s">
        <v>9163</v>
      </c>
      <c r="D95" s="161">
        <v>9781522575566</v>
      </c>
      <c r="E95" s="161">
        <v>9781522575559</v>
      </c>
      <c r="F95" s="160" t="s">
        <v>8593</v>
      </c>
      <c r="G95" s="160">
        <v>1</v>
      </c>
      <c r="H95" s="160" t="s">
        <v>6518</v>
      </c>
      <c r="I95" s="160" t="s">
        <v>8594</v>
      </c>
      <c r="J95" s="160" t="s">
        <v>569</v>
      </c>
      <c r="K95" s="160">
        <v>2019</v>
      </c>
      <c r="L95" s="160" t="s">
        <v>9139</v>
      </c>
      <c r="M95" s="168" t="s">
        <v>8595</v>
      </c>
      <c r="N95" s="162"/>
      <c r="O95" s="162"/>
      <c r="P95" s="162"/>
      <c r="Q95" s="162"/>
      <c r="R95" s="162"/>
      <c r="S95" s="162"/>
    </row>
    <row r="96" spans="1:19" ht="16.350000000000001" customHeight="1">
      <c r="A96" s="167">
        <v>115</v>
      </c>
      <c r="B96" s="160" t="s">
        <v>5071</v>
      </c>
      <c r="C96" s="160" t="s">
        <v>9163</v>
      </c>
      <c r="D96" s="161">
        <v>9781799844396</v>
      </c>
      <c r="E96" s="161">
        <v>9781799844389</v>
      </c>
      <c r="F96" s="160" t="s">
        <v>8816</v>
      </c>
      <c r="G96" s="160">
        <v>1</v>
      </c>
      <c r="H96" s="160" t="s">
        <v>6518</v>
      </c>
      <c r="I96" s="160" t="s">
        <v>8817</v>
      </c>
      <c r="J96" s="160" t="s">
        <v>569</v>
      </c>
      <c r="K96" s="160">
        <v>2021</v>
      </c>
      <c r="L96" s="160" t="s">
        <v>9139</v>
      </c>
      <c r="M96" s="168" t="s">
        <v>8818</v>
      </c>
      <c r="N96" s="162"/>
      <c r="O96" s="162"/>
      <c r="P96" s="162"/>
      <c r="Q96" s="162"/>
      <c r="R96" s="162"/>
      <c r="S96" s="162"/>
    </row>
    <row r="97" spans="1:19" ht="16.350000000000001" customHeight="1">
      <c r="A97" s="167">
        <v>8</v>
      </c>
      <c r="B97" s="160" t="s">
        <v>5071</v>
      </c>
      <c r="C97" s="160" t="s">
        <v>9164</v>
      </c>
      <c r="D97" s="161">
        <v>9781466696174</v>
      </c>
      <c r="E97" s="161">
        <v>9781466696167</v>
      </c>
      <c r="F97" s="160" t="s">
        <v>8519</v>
      </c>
      <c r="G97" s="160">
        <v>1</v>
      </c>
      <c r="H97" s="160" t="s">
        <v>6518</v>
      </c>
      <c r="I97" s="160" t="s">
        <v>8520</v>
      </c>
      <c r="J97" s="160" t="s">
        <v>569</v>
      </c>
      <c r="K97" s="160">
        <v>2016</v>
      </c>
      <c r="L97" s="160" t="s">
        <v>9139</v>
      </c>
      <c r="M97" s="168" t="s">
        <v>8521</v>
      </c>
      <c r="N97" s="162"/>
      <c r="O97" s="162"/>
      <c r="P97" s="162"/>
      <c r="Q97" s="162"/>
      <c r="R97" s="162"/>
      <c r="S97" s="162"/>
    </row>
    <row r="98" spans="1:19" ht="16.350000000000001" customHeight="1">
      <c r="A98" s="167">
        <v>12</v>
      </c>
      <c r="B98" s="160" t="s">
        <v>5071</v>
      </c>
      <c r="C98" s="160" t="s">
        <v>9164</v>
      </c>
      <c r="D98" s="161">
        <v>9781522505082</v>
      </c>
      <c r="E98" s="161">
        <v>9781522505075</v>
      </c>
      <c r="F98" s="160" t="s">
        <v>8530</v>
      </c>
      <c r="G98" s="160">
        <v>1</v>
      </c>
      <c r="H98" s="160" t="s">
        <v>6518</v>
      </c>
      <c r="I98" s="160" t="s">
        <v>8531</v>
      </c>
      <c r="J98" s="160" t="s">
        <v>569</v>
      </c>
      <c r="K98" s="160">
        <v>2017</v>
      </c>
      <c r="L98" s="160" t="s">
        <v>9139</v>
      </c>
      <c r="M98" s="168" t="s">
        <v>8532</v>
      </c>
      <c r="N98" s="162"/>
      <c r="O98" s="162"/>
      <c r="P98" s="162"/>
      <c r="Q98" s="162"/>
      <c r="R98" s="162"/>
      <c r="S98" s="162"/>
    </row>
    <row r="99" spans="1:19" ht="16.350000000000001" customHeight="1">
      <c r="A99" s="167">
        <v>16</v>
      </c>
      <c r="B99" s="160" t="s">
        <v>5071</v>
      </c>
      <c r="C99" s="160" t="s">
        <v>9164</v>
      </c>
      <c r="D99" s="161">
        <v>9781522550860</v>
      </c>
      <c r="E99" s="161">
        <v>9781522550853</v>
      </c>
      <c r="F99" s="160" t="s">
        <v>8541</v>
      </c>
      <c r="G99" s="160">
        <v>1</v>
      </c>
      <c r="H99" s="160" t="s">
        <v>6518</v>
      </c>
      <c r="I99" s="160" t="s">
        <v>8542</v>
      </c>
      <c r="J99" s="160" t="s">
        <v>569</v>
      </c>
      <c r="K99" s="160">
        <v>2018</v>
      </c>
      <c r="L99" s="160" t="s">
        <v>9139</v>
      </c>
      <c r="M99" s="168" t="s">
        <v>8543</v>
      </c>
      <c r="N99" s="162"/>
      <c r="O99" s="162"/>
      <c r="P99" s="162"/>
      <c r="Q99" s="162"/>
      <c r="R99" s="162"/>
      <c r="S99" s="162"/>
    </row>
    <row r="100" spans="1:19" ht="16.350000000000001" customHeight="1">
      <c r="A100" s="167">
        <v>17</v>
      </c>
      <c r="B100" s="160" t="s">
        <v>5071</v>
      </c>
      <c r="C100" s="160" t="s">
        <v>9164</v>
      </c>
      <c r="D100" s="161">
        <v>9781522553700</v>
      </c>
      <c r="E100" s="161">
        <v>9781522553694</v>
      </c>
      <c r="F100" s="160" t="s">
        <v>8544</v>
      </c>
      <c r="G100" s="160">
        <v>1</v>
      </c>
      <c r="H100" s="160" t="s">
        <v>6518</v>
      </c>
      <c r="I100" s="160" t="s">
        <v>6045</v>
      </c>
      <c r="J100" s="160" t="s">
        <v>569</v>
      </c>
      <c r="K100" s="160">
        <v>2018</v>
      </c>
      <c r="L100" s="160" t="s">
        <v>9139</v>
      </c>
      <c r="M100" s="168" t="s">
        <v>8545</v>
      </c>
      <c r="N100" s="162"/>
      <c r="O100" s="162"/>
      <c r="P100" s="162"/>
      <c r="Q100" s="162"/>
      <c r="R100" s="162"/>
      <c r="S100" s="162"/>
    </row>
    <row r="101" spans="1:19" ht="16.350000000000001" customHeight="1">
      <c r="A101" s="167">
        <v>18</v>
      </c>
      <c r="B101" s="160" t="s">
        <v>5071</v>
      </c>
      <c r="C101" s="160" t="s">
        <v>9164</v>
      </c>
      <c r="D101" s="161">
        <v>9781522536901</v>
      </c>
      <c r="E101" s="161">
        <v>9781522536895</v>
      </c>
      <c r="F101" s="160" t="s">
        <v>8546</v>
      </c>
      <c r="G101" s="160">
        <v>1</v>
      </c>
      <c r="H101" s="160" t="s">
        <v>6518</v>
      </c>
      <c r="I101" s="160" t="s">
        <v>8547</v>
      </c>
      <c r="J101" s="160" t="s">
        <v>569</v>
      </c>
      <c r="K101" s="160">
        <v>2018</v>
      </c>
      <c r="L101" s="160" t="s">
        <v>9139</v>
      </c>
      <c r="M101" s="168" t="s">
        <v>8548</v>
      </c>
      <c r="N101" s="162"/>
      <c r="O101" s="162"/>
      <c r="P101" s="162"/>
      <c r="Q101" s="162"/>
      <c r="R101" s="162"/>
      <c r="S101" s="162"/>
    </row>
    <row r="102" spans="1:19" ht="16.350000000000001" customHeight="1">
      <c r="A102" s="167">
        <v>19</v>
      </c>
      <c r="B102" s="160" t="s">
        <v>5071</v>
      </c>
      <c r="C102" s="160" t="s">
        <v>9164</v>
      </c>
      <c r="D102" s="161">
        <v>9781522528098</v>
      </c>
      <c r="E102" s="161">
        <v>9781522528081</v>
      </c>
      <c r="F102" s="160" t="s">
        <v>8549</v>
      </c>
      <c r="G102" s="160">
        <v>1</v>
      </c>
      <c r="H102" s="160" t="s">
        <v>6518</v>
      </c>
      <c r="I102" s="160" t="s">
        <v>8550</v>
      </c>
      <c r="J102" s="160" t="s">
        <v>569</v>
      </c>
      <c r="K102" s="160">
        <v>2018</v>
      </c>
      <c r="L102" s="160" t="s">
        <v>9139</v>
      </c>
      <c r="M102" s="168" t="s">
        <v>8551</v>
      </c>
      <c r="N102" s="162"/>
      <c r="O102" s="162"/>
      <c r="P102" s="162"/>
      <c r="Q102" s="162"/>
      <c r="R102" s="162"/>
      <c r="S102" s="162"/>
    </row>
    <row r="103" spans="1:19" ht="16.350000000000001" customHeight="1">
      <c r="A103" s="167">
        <v>27</v>
      </c>
      <c r="B103" s="160" t="s">
        <v>5071</v>
      </c>
      <c r="C103" s="160" t="s">
        <v>9164</v>
      </c>
      <c r="D103" s="161">
        <v>9781522578246</v>
      </c>
      <c r="E103" s="161">
        <v>9781522578239</v>
      </c>
      <c r="F103" s="160" t="s">
        <v>8571</v>
      </c>
      <c r="G103" s="160">
        <v>1</v>
      </c>
      <c r="H103" s="160" t="s">
        <v>6518</v>
      </c>
      <c r="I103" s="160" t="s">
        <v>8572</v>
      </c>
      <c r="J103" s="160" t="s">
        <v>569</v>
      </c>
      <c r="K103" s="160">
        <v>2019</v>
      </c>
      <c r="L103" s="160" t="s">
        <v>9139</v>
      </c>
      <c r="M103" s="168" t="s">
        <v>8573</v>
      </c>
      <c r="N103" s="162"/>
      <c r="O103" s="162"/>
      <c r="P103" s="162"/>
      <c r="Q103" s="162"/>
      <c r="R103" s="162"/>
      <c r="S103" s="162"/>
    </row>
    <row r="104" spans="1:19" ht="16.350000000000001" customHeight="1">
      <c r="A104" s="167">
        <v>28</v>
      </c>
      <c r="B104" s="160" t="s">
        <v>5071</v>
      </c>
      <c r="C104" s="160" t="s">
        <v>9164</v>
      </c>
      <c r="D104" s="161">
        <v>9781522580102</v>
      </c>
      <c r="E104" s="161">
        <v>9781522580096</v>
      </c>
      <c r="F104" s="160" t="s">
        <v>8574</v>
      </c>
      <c r="G104" s="160">
        <v>1</v>
      </c>
      <c r="H104" s="160" t="s">
        <v>6518</v>
      </c>
      <c r="I104" s="160" t="s">
        <v>8575</v>
      </c>
      <c r="J104" s="160" t="s">
        <v>569</v>
      </c>
      <c r="K104" s="160">
        <v>2019</v>
      </c>
      <c r="L104" s="160" t="s">
        <v>9139</v>
      </c>
      <c r="M104" s="168" t="s">
        <v>8576</v>
      </c>
      <c r="N104" s="162"/>
      <c r="O104" s="162"/>
      <c r="P104" s="162"/>
      <c r="Q104" s="162"/>
      <c r="R104" s="162"/>
      <c r="S104" s="162"/>
    </row>
    <row r="105" spans="1:19" ht="16.350000000000001" customHeight="1">
      <c r="A105" s="167">
        <v>33</v>
      </c>
      <c r="B105" s="160" t="s">
        <v>5071</v>
      </c>
      <c r="C105" s="160" t="s">
        <v>9164</v>
      </c>
      <c r="D105" s="161">
        <v>9781522574149</v>
      </c>
      <c r="E105" s="161">
        <v>9781522574132</v>
      </c>
      <c r="F105" s="160" t="s">
        <v>8587</v>
      </c>
      <c r="G105" s="160">
        <v>1</v>
      </c>
      <c r="H105" s="160" t="s">
        <v>6518</v>
      </c>
      <c r="I105" s="160" t="s">
        <v>8588</v>
      </c>
      <c r="J105" s="160" t="s">
        <v>569</v>
      </c>
      <c r="K105" s="160">
        <v>2019</v>
      </c>
      <c r="L105" s="160" t="s">
        <v>9139</v>
      </c>
      <c r="M105" s="168" t="s">
        <v>8589</v>
      </c>
      <c r="N105" s="162"/>
      <c r="O105" s="162"/>
      <c r="P105" s="162"/>
      <c r="Q105" s="162"/>
      <c r="R105" s="162"/>
      <c r="S105" s="162"/>
    </row>
    <row r="106" spans="1:19" ht="16.350000000000001" customHeight="1">
      <c r="A106" s="167">
        <v>39</v>
      </c>
      <c r="B106" s="160" t="s">
        <v>5071</v>
      </c>
      <c r="C106" s="160" t="s">
        <v>9164</v>
      </c>
      <c r="D106" s="161">
        <v>9781522559375</v>
      </c>
      <c r="E106" s="161">
        <v>9781522559368</v>
      </c>
      <c r="F106" s="160" t="s">
        <v>8604</v>
      </c>
      <c r="G106" s="160">
        <v>1</v>
      </c>
      <c r="H106" s="160" t="s">
        <v>6518</v>
      </c>
      <c r="I106" s="160" t="s">
        <v>5208</v>
      </c>
      <c r="J106" s="160" t="s">
        <v>569</v>
      </c>
      <c r="K106" s="160">
        <v>2019</v>
      </c>
      <c r="L106" s="160" t="s">
        <v>9139</v>
      </c>
      <c r="M106" s="168" t="s">
        <v>8605</v>
      </c>
      <c r="N106" s="162"/>
      <c r="O106" s="162"/>
      <c r="P106" s="162"/>
      <c r="Q106" s="162"/>
      <c r="R106" s="162"/>
      <c r="S106" s="162"/>
    </row>
    <row r="107" spans="1:19" ht="16.350000000000001" customHeight="1">
      <c r="A107" s="167">
        <v>45</v>
      </c>
      <c r="B107" s="160" t="s">
        <v>5071</v>
      </c>
      <c r="C107" s="160" t="s">
        <v>9164</v>
      </c>
      <c r="D107" s="161">
        <v>9781522575689</v>
      </c>
      <c r="E107" s="161">
        <v>9781522575672</v>
      </c>
      <c r="F107" s="160" t="s">
        <v>8618</v>
      </c>
      <c r="G107" s="160">
        <v>1</v>
      </c>
      <c r="H107" s="160" t="s">
        <v>6518</v>
      </c>
      <c r="I107" s="160" t="s">
        <v>8619</v>
      </c>
      <c r="J107" s="160" t="s">
        <v>569</v>
      </c>
      <c r="K107" s="160">
        <v>2019</v>
      </c>
      <c r="L107" s="160" t="s">
        <v>9139</v>
      </c>
      <c r="M107" s="168" t="s">
        <v>8620</v>
      </c>
      <c r="N107" s="162"/>
      <c r="O107" s="162"/>
      <c r="P107" s="162"/>
      <c r="Q107" s="162"/>
      <c r="R107" s="162"/>
      <c r="S107" s="162"/>
    </row>
    <row r="108" spans="1:19" ht="16.350000000000001" customHeight="1">
      <c r="A108" s="167">
        <v>46</v>
      </c>
      <c r="B108" s="160" t="s">
        <v>5071</v>
      </c>
      <c r="C108" s="160" t="s">
        <v>9164</v>
      </c>
      <c r="D108" s="161">
        <v>9781522580195</v>
      </c>
      <c r="E108" s="161">
        <v>9781522580188</v>
      </c>
      <c r="F108" s="160" t="s">
        <v>8621</v>
      </c>
      <c r="G108" s="160">
        <v>1</v>
      </c>
      <c r="H108" s="160" t="s">
        <v>6518</v>
      </c>
      <c r="I108" s="160" t="s">
        <v>8622</v>
      </c>
      <c r="J108" s="160" t="s">
        <v>569</v>
      </c>
      <c r="K108" s="160">
        <v>2019</v>
      </c>
      <c r="L108" s="160" t="s">
        <v>9139</v>
      </c>
      <c r="M108" s="168" t="s">
        <v>8623</v>
      </c>
      <c r="N108" s="162"/>
      <c r="O108" s="162"/>
      <c r="P108" s="162"/>
      <c r="Q108" s="162"/>
      <c r="R108" s="162"/>
      <c r="S108" s="162"/>
    </row>
    <row r="109" spans="1:19" ht="16.350000000000001" customHeight="1">
      <c r="A109" s="167">
        <v>47</v>
      </c>
      <c r="B109" s="160" t="s">
        <v>5071</v>
      </c>
      <c r="C109" s="160" t="s">
        <v>9164</v>
      </c>
      <c r="D109" s="161">
        <v>9781522585718</v>
      </c>
      <c r="E109" s="161">
        <v>9781522585701</v>
      </c>
      <c r="F109" s="160" t="s">
        <v>8624</v>
      </c>
      <c r="G109" s="160">
        <v>1</v>
      </c>
      <c r="H109" s="160" t="s">
        <v>6518</v>
      </c>
      <c r="I109" s="160" t="s">
        <v>8625</v>
      </c>
      <c r="J109" s="160" t="s">
        <v>569</v>
      </c>
      <c r="K109" s="160">
        <v>2019</v>
      </c>
      <c r="L109" s="160" t="s">
        <v>9139</v>
      </c>
      <c r="M109" s="168" t="s">
        <v>8626</v>
      </c>
      <c r="N109" s="162"/>
      <c r="O109" s="162"/>
      <c r="P109" s="162"/>
      <c r="Q109" s="162"/>
      <c r="R109" s="162"/>
      <c r="S109" s="162"/>
    </row>
    <row r="110" spans="1:19" ht="16.350000000000001" customHeight="1">
      <c r="A110" s="167">
        <v>50</v>
      </c>
      <c r="B110" s="160" t="s">
        <v>5071</v>
      </c>
      <c r="C110" s="160" t="s">
        <v>9164</v>
      </c>
      <c r="D110" s="161">
        <v>9781522593188</v>
      </c>
      <c r="E110" s="161">
        <v>9781522593164</v>
      </c>
      <c r="F110" s="160" t="s">
        <v>8633</v>
      </c>
      <c r="G110" s="160">
        <v>1</v>
      </c>
      <c r="H110" s="160" t="s">
        <v>6518</v>
      </c>
      <c r="I110" s="160" t="s">
        <v>8634</v>
      </c>
      <c r="J110" s="160" t="s">
        <v>569</v>
      </c>
      <c r="K110" s="160">
        <v>2019</v>
      </c>
      <c r="L110" s="160" t="s">
        <v>9139</v>
      </c>
      <c r="M110" s="168" t="s">
        <v>8635</v>
      </c>
      <c r="N110" s="162"/>
      <c r="O110" s="162"/>
      <c r="P110" s="162"/>
      <c r="Q110" s="162"/>
      <c r="R110" s="162"/>
      <c r="S110" s="162"/>
    </row>
    <row r="111" spans="1:19" ht="16.350000000000001" customHeight="1">
      <c r="A111" s="167">
        <v>51</v>
      </c>
      <c r="B111" s="160" t="s">
        <v>5071</v>
      </c>
      <c r="C111" s="160" t="s">
        <v>9164</v>
      </c>
      <c r="D111" s="161">
        <v>9781522579885</v>
      </c>
      <c r="E111" s="161">
        <v>9781522579878</v>
      </c>
      <c r="F111" s="160" t="s">
        <v>8636</v>
      </c>
      <c r="G111" s="160">
        <v>1</v>
      </c>
      <c r="H111" s="160" t="s">
        <v>6518</v>
      </c>
      <c r="I111" s="160" t="s">
        <v>8637</v>
      </c>
      <c r="J111" s="160" t="s">
        <v>569</v>
      </c>
      <c r="K111" s="160">
        <v>2019</v>
      </c>
      <c r="L111" s="160" t="s">
        <v>9139</v>
      </c>
      <c r="M111" s="168" t="s">
        <v>8638</v>
      </c>
      <c r="N111" s="162"/>
      <c r="O111" s="162"/>
      <c r="P111" s="162"/>
      <c r="Q111" s="162"/>
      <c r="R111" s="162"/>
      <c r="S111" s="162"/>
    </row>
    <row r="112" spans="1:19" ht="16.350000000000001" customHeight="1">
      <c r="A112" s="167">
        <v>55</v>
      </c>
      <c r="B112" s="160" t="s">
        <v>5071</v>
      </c>
      <c r="C112" s="160" t="s">
        <v>9164</v>
      </c>
      <c r="D112" s="161">
        <v>9781799827122</v>
      </c>
      <c r="E112" s="161">
        <v>9781799827115</v>
      </c>
      <c r="F112" s="160" t="s">
        <v>8647</v>
      </c>
      <c r="G112" s="160">
        <v>1</v>
      </c>
      <c r="H112" s="160" t="s">
        <v>6518</v>
      </c>
      <c r="I112" s="160" t="s">
        <v>8648</v>
      </c>
      <c r="J112" s="160" t="s">
        <v>569</v>
      </c>
      <c r="K112" s="160">
        <v>2021</v>
      </c>
      <c r="L112" s="160" t="s">
        <v>9139</v>
      </c>
      <c r="M112" s="168" t="s">
        <v>8649</v>
      </c>
      <c r="N112" s="162"/>
      <c r="O112" s="162"/>
      <c r="P112" s="162"/>
      <c r="Q112" s="162"/>
      <c r="R112" s="162"/>
      <c r="S112" s="162"/>
    </row>
    <row r="113" spans="1:19" ht="16.350000000000001" customHeight="1">
      <c r="A113" s="167">
        <v>68</v>
      </c>
      <c r="B113" s="160" t="s">
        <v>5071</v>
      </c>
      <c r="C113" s="160" t="s">
        <v>9164</v>
      </c>
      <c r="D113" s="161">
        <v>9781799803218</v>
      </c>
      <c r="E113" s="161">
        <v>9781799803195</v>
      </c>
      <c r="F113" s="160" t="s">
        <v>8684</v>
      </c>
      <c r="G113" s="160">
        <v>1</v>
      </c>
      <c r="H113" s="160" t="s">
        <v>6518</v>
      </c>
      <c r="I113" s="160" t="s">
        <v>8685</v>
      </c>
      <c r="J113" s="160" t="s">
        <v>569</v>
      </c>
      <c r="K113" s="160">
        <v>2020</v>
      </c>
      <c r="L113" s="160" t="s">
        <v>9139</v>
      </c>
      <c r="M113" s="168" t="s">
        <v>8686</v>
      </c>
      <c r="N113" s="162"/>
      <c r="O113" s="162"/>
      <c r="P113" s="162"/>
      <c r="Q113" s="162"/>
      <c r="R113" s="162"/>
      <c r="S113" s="162"/>
    </row>
    <row r="114" spans="1:19" ht="16.350000000000001" customHeight="1">
      <c r="A114" s="167">
        <v>69</v>
      </c>
      <c r="B114" s="160" t="s">
        <v>5071</v>
      </c>
      <c r="C114" s="160" t="s">
        <v>9164</v>
      </c>
      <c r="D114" s="161">
        <v>9781522593065</v>
      </c>
      <c r="E114" s="161">
        <v>9781522593041</v>
      </c>
      <c r="F114" s="160" t="s">
        <v>8687</v>
      </c>
      <c r="G114" s="160">
        <v>1</v>
      </c>
      <c r="H114" s="160" t="s">
        <v>6518</v>
      </c>
      <c r="I114" s="160" t="s">
        <v>8688</v>
      </c>
      <c r="J114" s="160" t="s">
        <v>569</v>
      </c>
      <c r="K114" s="160">
        <v>2020</v>
      </c>
      <c r="L114" s="160" t="s">
        <v>9139</v>
      </c>
      <c r="M114" s="168" t="s">
        <v>8689</v>
      </c>
      <c r="N114" s="162"/>
      <c r="O114" s="162"/>
      <c r="P114" s="162"/>
      <c r="Q114" s="162"/>
      <c r="R114" s="162"/>
      <c r="S114" s="162"/>
    </row>
    <row r="115" spans="1:19" ht="16.350000000000001" customHeight="1">
      <c r="A115" s="167">
        <v>76</v>
      </c>
      <c r="B115" s="160" t="s">
        <v>5071</v>
      </c>
      <c r="C115" s="160" t="s">
        <v>9164</v>
      </c>
      <c r="D115" s="161">
        <v>9781799814627</v>
      </c>
      <c r="E115" s="161">
        <v>9781799814610</v>
      </c>
      <c r="F115" s="160" t="s">
        <v>8705</v>
      </c>
      <c r="G115" s="160">
        <v>1</v>
      </c>
      <c r="H115" s="160" t="s">
        <v>6518</v>
      </c>
      <c r="I115" s="160" t="s">
        <v>2218</v>
      </c>
      <c r="J115" s="160" t="s">
        <v>569</v>
      </c>
      <c r="K115" s="160">
        <v>2020</v>
      </c>
      <c r="L115" s="160" t="s">
        <v>9139</v>
      </c>
      <c r="M115" s="168" t="s">
        <v>8706</v>
      </c>
      <c r="N115" s="162"/>
      <c r="O115" s="162"/>
      <c r="P115" s="162"/>
      <c r="Q115" s="162"/>
      <c r="R115" s="162"/>
      <c r="S115" s="162"/>
    </row>
    <row r="116" spans="1:19" ht="16.350000000000001" customHeight="1">
      <c r="A116" s="167">
        <v>79</v>
      </c>
      <c r="B116" s="160" t="s">
        <v>5071</v>
      </c>
      <c r="C116" s="160" t="s">
        <v>9164</v>
      </c>
      <c r="D116" s="161">
        <v>9781522594796</v>
      </c>
      <c r="E116" s="161">
        <v>9781522594789</v>
      </c>
      <c r="F116" s="160" t="s">
        <v>8712</v>
      </c>
      <c r="G116" s="160">
        <v>1</v>
      </c>
      <c r="H116" s="160" t="s">
        <v>6518</v>
      </c>
      <c r="I116" s="160" t="s">
        <v>8713</v>
      </c>
      <c r="J116" s="160" t="s">
        <v>569</v>
      </c>
      <c r="K116" s="160">
        <v>2020</v>
      </c>
      <c r="L116" s="160" t="s">
        <v>9139</v>
      </c>
      <c r="M116" s="168" t="s">
        <v>8714</v>
      </c>
      <c r="N116" s="162"/>
      <c r="O116" s="162"/>
      <c r="P116" s="162"/>
      <c r="Q116" s="162"/>
      <c r="R116" s="162"/>
      <c r="S116" s="162"/>
    </row>
    <row r="117" spans="1:19" ht="16.350000000000001" customHeight="1">
      <c r="A117" s="167">
        <v>80</v>
      </c>
      <c r="B117" s="160" t="s">
        <v>5071</v>
      </c>
      <c r="C117" s="160" t="s">
        <v>9164</v>
      </c>
      <c r="D117" s="161">
        <v>9781799814887</v>
      </c>
      <c r="E117" s="161">
        <v>9781799814863</v>
      </c>
      <c r="F117" s="160" t="s">
        <v>8715</v>
      </c>
      <c r="G117" s="160">
        <v>1</v>
      </c>
      <c r="H117" s="160" t="s">
        <v>6518</v>
      </c>
      <c r="I117" s="160" t="s">
        <v>8716</v>
      </c>
      <c r="J117" s="160" t="s">
        <v>569</v>
      </c>
      <c r="K117" s="160">
        <v>2020</v>
      </c>
      <c r="L117" s="160" t="s">
        <v>9139</v>
      </c>
      <c r="M117" s="168" t="s">
        <v>8717</v>
      </c>
      <c r="N117" s="162"/>
      <c r="O117" s="162"/>
      <c r="P117" s="162"/>
      <c r="Q117" s="162"/>
      <c r="R117" s="162"/>
      <c r="S117" s="162"/>
    </row>
    <row r="118" spans="1:19" ht="16.350000000000001" customHeight="1">
      <c r="A118" s="167">
        <v>83</v>
      </c>
      <c r="B118" s="160" t="s">
        <v>5071</v>
      </c>
      <c r="C118" s="160" t="s">
        <v>9164</v>
      </c>
      <c r="D118" s="161">
        <v>9781799812142</v>
      </c>
      <c r="E118" s="161">
        <v>9781799812135</v>
      </c>
      <c r="F118" s="160" t="s">
        <v>8723</v>
      </c>
      <c r="G118" s="160">
        <v>1</v>
      </c>
      <c r="H118" s="160" t="s">
        <v>6518</v>
      </c>
      <c r="I118" s="160" t="s">
        <v>3446</v>
      </c>
      <c r="J118" s="160" t="s">
        <v>569</v>
      </c>
      <c r="K118" s="160">
        <v>2020</v>
      </c>
      <c r="L118" s="160" t="s">
        <v>9139</v>
      </c>
      <c r="M118" s="168" t="s">
        <v>8724</v>
      </c>
      <c r="N118" s="162"/>
      <c r="O118" s="162"/>
      <c r="P118" s="162"/>
      <c r="Q118" s="162"/>
      <c r="R118" s="162"/>
      <c r="S118" s="162"/>
    </row>
    <row r="119" spans="1:19" ht="16.350000000000001" customHeight="1">
      <c r="A119" s="167">
        <v>86</v>
      </c>
      <c r="B119" s="160" t="s">
        <v>5071</v>
      </c>
      <c r="C119" s="160" t="s">
        <v>9164</v>
      </c>
      <c r="D119" s="161">
        <v>9781799814337</v>
      </c>
      <c r="E119" s="161">
        <v>9781799814313</v>
      </c>
      <c r="F119" s="160" t="s">
        <v>8731</v>
      </c>
      <c r="G119" s="160">
        <v>1</v>
      </c>
      <c r="H119" s="160" t="s">
        <v>6518</v>
      </c>
      <c r="I119" s="160" t="s">
        <v>8732</v>
      </c>
      <c r="J119" s="160" t="s">
        <v>569</v>
      </c>
      <c r="K119" s="160">
        <v>2020</v>
      </c>
      <c r="L119" s="160" t="s">
        <v>9139</v>
      </c>
      <c r="M119" s="168" t="s">
        <v>8733</v>
      </c>
      <c r="N119" s="162"/>
      <c r="O119" s="162"/>
      <c r="P119" s="162"/>
      <c r="Q119" s="162"/>
      <c r="R119" s="162"/>
      <c r="S119" s="162"/>
    </row>
    <row r="120" spans="1:19" ht="16.350000000000001" customHeight="1">
      <c r="A120" s="167">
        <v>87</v>
      </c>
      <c r="B120" s="160" t="s">
        <v>5071</v>
      </c>
      <c r="C120" s="160" t="s">
        <v>9164</v>
      </c>
      <c r="D120" s="161">
        <v>9781799814948</v>
      </c>
      <c r="E120" s="161">
        <v>9781799814924</v>
      </c>
      <c r="F120" s="160" t="s">
        <v>8734</v>
      </c>
      <c r="G120" s="160">
        <v>1</v>
      </c>
      <c r="H120" s="160" t="s">
        <v>6518</v>
      </c>
      <c r="I120" s="160" t="s">
        <v>8588</v>
      </c>
      <c r="J120" s="160" t="s">
        <v>569</v>
      </c>
      <c r="K120" s="160">
        <v>2020</v>
      </c>
      <c r="L120" s="160" t="s">
        <v>9139</v>
      </c>
      <c r="M120" s="168" t="s">
        <v>8735</v>
      </c>
      <c r="N120" s="162"/>
      <c r="O120" s="162"/>
      <c r="P120" s="162"/>
      <c r="Q120" s="162"/>
      <c r="R120" s="162"/>
      <c r="S120" s="162"/>
    </row>
    <row r="121" spans="1:19" ht="16.350000000000001" customHeight="1">
      <c r="A121" s="167">
        <v>95</v>
      </c>
      <c r="B121" s="160" t="s">
        <v>5071</v>
      </c>
      <c r="C121" s="160" t="s">
        <v>9164</v>
      </c>
      <c r="D121" s="161">
        <v>9781799820659</v>
      </c>
      <c r="E121" s="161">
        <v>9781799820635</v>
      </c>
      <c r="F121" s="160" t="s">
        <v>8757</v>
      </c>
      <c r="G121" s="160">
        <v>1</v>
      </c>
      <c r="H121" s="160" t="s">
        <v>6518</v>
      </c>
      <c r="I121" s="160" t="s">
        <v>8758</v>
      </c>
      <c r="J121" s="160" t="s">
        <v>569</v>
      </c>
      <c r="K121" s="160">
        <v>2020</v>
      </c>
      <c r="L121" s="160" t="s">
        <v>9139</v>
      </c>
      <c r="M121" s="168" t="s">
        <v>8759</v>
      </c>
      <c r="N121" s="162"/>
      <c r="O121" s="162"/>
      <c r="P121" s="162"/>
      <c r="Q121" s="162"/>
      <c r="R121" s="162"/>
      <c r="S121" s="162"/>
    </row>
    <row r="122" spans="1:19" ht="16.350000000000001" customHeight="1">
      <c r="A122" s="167">
        <v>107</v>
      </c>
      <c r="B122" s="160" t="s">
        <v>5071</v>
      </c>
      <c r="C122" s="160" t="s">
        <v>9164</v>
      </c>
      <c r="D122" s="161">
        <v>9781799832935</v>
      </c>
      <c r="E122" s="161">
        <v>9781799832928</v>
      </c>
      <c r="F122" s="160" t="s">
        <v>8791</v>
      </c>
      <c r="G122" s="160">
        <v>1</v>
      </c>
      <c r="H122" s="160" t="s">
        <v>6518</v>
      </c>
      <c r="I122" s="160" t="s">
        <v>8792</v>
      </c>
      <c r="J122" s="160" t="s">
        <v>569</v>
      </c>
      <c r="K122" s="160">
        <v>2020</v>
      </c>
      <c r="L122" s="160" t="s">
        <v>9139</v>
      </c>
      <c r="M122" s="168" t="s">
        <v>8793</v>
      </c>
      <c r="N122" s="162"/>
      <c r="O122" s="162"/>
      <c r="P122" s="162"/>
      <c r="Q122" s="162"/>
      <c r="R122" s="162"/>
      <c r="S122" s="162"/>
    </row>
    <row r="123" spans="1:19" ht="16.350000000000001" customHeight="1">
      <c r="A123" s="167">
        <v>114</v>
      </c>
      <c r="B123" s="160" t="s">
        <v>5071</v>
      </c>
      <c r="C123" s="160" t="s">
        <v>9164</v>
      </c>
      <c r="D123" s="161">
        <v>9781799841845</v>
      </c>
      <c r="E123" s="161">
        <v>9781799841838</v>
      </c>
      <c r="F123" s="160" t="s">
        <v>8813</v>
      </c>
      <c r="G123" s="160">
        <v>1</v>
      </c>
      <c r="H123" s="160" t="s">
        <v>6518</v>
      </c>
      <c r="I123" s="160" t="s">
        <v>8814</v>
      </c>
      <c r="J123" s="160" t="s">
        <v>569</v>
      </c>
      <c r="K123" s="160">
        <v>2020</v>
      </c>
      <c r="L123" s="160" t="s">
        <v>9139</v>
      </c>
      <c r="M123" s="168" t="s">
        <v>8815</v>
      </c>
      <c r="N123" s="162"/>
      <c r="O123" s="162"/>
      <c r="P123" s="162"/>
      <c r="Q123" s="162"/>
      <c r="R123" s="162"/>
      <c r="S123" s="162"/>
    </row>
    <row r="124" spans="1:19" ht="16.350000000000001" customHeight="1">
      <c r="A124" s="167">
        <v>123</v>
      </c>
      <c r="B124" s="160" t="s">
        <v>5071</v>
      </c>
      <c r="C124" s="160" t="s">
        <v>9164</v>
      </c>
      <c r="D124" s="161">
        <v>9781799845171</v>
      </c>
      <c r="E124" s="161">
        <v>9781799845164</v>
      </c>
      <c r="F124" s="160" t="s">
        <v>8840</v>
      </c>
      <c r="G124" s="160">
        <v>1</v>
      </c>
      <c r="H124" s="160" t="s">
        <v>6518</v>
      </c>
      <c r="I124" s="160" t="s">
        <v>8841</v>
      </c>
      <c r="J124" s="160" t="s">
        <v>569</v>
      </c>
      <c r="K124" s="160">
        <v>2020</v>
      </c>
      <c r="L124" s="160" t="s">
        <v>9139</v>
      </c>
      <c r="M124" s="168" t="s">
        <v>8842</v>
      </c>
      <c r="N124" s="162"/>
      <c r="O124" s="162"/>
      <c r="P124" s="162"/>
      <c r="Q124" s="162"/>
      <c r="R124" s="162"/>
      <c r="S124" s="162"/>
    </row>
    <row r="125" spans="1:19" ht="16.350000000000001" customHeight="1">
      <c r="A125" s="167">
        <v>128</v>
      </c>
      <c r="B125" s="160" t="s">
        <v>5071</v>
      </c>
      <c r="C125" s="160" t="s">
        <v>9164</v>
      </c>
      <c r="D125" s="161">
        <v>9781799847854</v>
      </c>
      <c r="E125" s="161">
        <v>9781799847847</v>
      </c>
      <c r="F125" s="160" t="s">
        <v>8854</v>
      </c>
      <c r="G125" s="160">
        <v>1</v>
      </c>
      <c r="H125" s="160" t="s">
        <v>6518</v>
      </c>
      <c r="I125" s="160" t="s">
        <v>8855</v>
      </c>
      <c r="J125" s="160" t="s">
        <v>569</v>
      </c>
      <c r="K125" s="160">
        <v>2021</v>
      </c>
      <c r="L125" s="160" t="s">
        <v>9139</v>
      </c>
      <c r="M125" s="168" t="s">
        <v>8856</v>
      </c>
      <c r="N125" s="162"/>
      <c r="O125" s="162"/>
      <c r="P125" s="162"/>
      <c r="Q125" s="162"/>
      <c r="R125" s="162"/>
      <c r="S125" s="162"/>
    </row>
    <row r="126" spans="1:19" ht="16.350000000000001" customHeight="1">
      <c r="A126" s="167">
        <v>40</v>
      </c>
      <c r="B126" s="160" t="s">
        <v>5071</v>
      </c>
      <c r="C126" s="160" t="s">
        <v>9165</v>
      </c>
      <c r="D126" s="161">
        <v>9781522559191</v>
      </c>
      <c r="E126" s="161">
        <v>9781522559184</v>
      </c>
      <c r="F126" s="160" t="s">
        <v>8606</v>
      </c>
      <c r="G126" s="160">
        <v>1</v>
      </c>
      <c r="H126" s="160" t="s">
        <v>6518</v>
      </c>
      <c r="I126" s="160" t="s">
        <v>5440</v>
      </c>
      <c r="J126" s="160" t="s">
        <v>569</v>
      </c>
      <c r="K126" s="160">
        <v>2019</v>
      </c>
      <c r="L126" s="160" t="s">
        <v>9139</v>
      </c>
      <c r="M126" s="168" t="s">
        <v>8607</v>
      </c>
      <c r="N126" s="162"/>
      <c r="O126" s="162"/>
      <c r="P126" s="162"/>
      <c r="Q126" s="162"/>
      <c r="R126" s="162"/>
      <c r="S126" s="162"/>
    </row>
    <row r="127" spans="1:19" ht="16.350000000000001" customHeight="1">
      <c r="A127" s="167">
        <v>63</v>
      </c>
      <c r="B127" s="160" t="s">
        <v>5071</v>
      </c>
      <c r="C127" s="160" t="s">
        <v>9165</v>
      </c>
      <c r="D127" s="161">
        <v>9781799800248</v>
      </c>
      <c r="E127" s="161">
        <v>9781799800224</v>
      </c>
      <c r="F127" s="160" t="s">
        <v>8670</v>
      </c>
      <c r="G127" s="160">
        <v>1</v>
      </c>
      <c r="H127" s="160" t="s">
        <v>6518</v>
      </c>
      <c r="I127" s="160" t="s">
        <v>8671</v>
      </c>
      <c r="J127" s="160" t="s">
        <v>561</v>
      </c>
      <c r="K127" s="160">
        <v>2020</v>
      </c>
      <c r="L127" s="160" t="s">
        <v>9139</v>
      </c>
      <c r="M127" s="168" t="s">
        <v>8672</v>
      </c>
      <c r="N127" s="162"/>
      <c r="O127" s="162"/>
      <c r="P127" s="162"/>
      <c r="Q127" s="162"/>
      <c r="R127" s="162"/>
      <c r="S127" s="162"/>
    </row>
    <row r="128" spans="1:19" ht="16.350000000000001" customHeight="1">
      <c r="A128" s="167">
        <v>74</v>
      </c>
      <c r="B128" s="160" t="s">
        <v>5071</v>
      </c>
      <c r="C128" s="160" t="s">
        <v>9165</v>
      </c>
      <c r="D128" s="161">
        <v>9781799819325</v>
      </c>
      <c r="E128" s="161">
        <v>9781799819318</v>
      </c>
      <c r="F128" s="160" t="s">
        <v>8701</v>
      </c>
      <c r="G128" s="160">
        <v>1</v>
      </c>
      <c r="H128" s="160" t="s">
        <v>6518</v>
      </c>
      <c r="I128" s="160" t="s">
        <v>5432</v>
      </c>
      <c r="J128" s="160" t="s">
        <v>561</v>
      </c>
      <c r="K128" s="160">
        <v>2020</v>
      </c>
      <c r="L128" s="160" t="s">
        <v>9139</v>
      </c>
      <c r="M128" s="168" t="s">
        <v>8702</v>
      </c>
      <c r="N128" s="162"/>
      <c r="O128" s="162"/>
      <c r="P128" s="162"/>
      <c r="Q128" s="162"/>
      <c r="R128" s="162"/>
      <c r="S128" s="162"/>
    </row>
    <row r="129" spans="1:19" ht="16.350000000000001" customHeight="1">
      <c r="A129" s="167">
        <v>127</v>
      </c>
      <c r="B129" s="160" t="s">
        <v>5071</v>
      </c>
      <c r="C129" s="160" t="s">
        <v>9165</v>
      </c>
      <c r="D129" s="161">
        <v>9781799846291</v>
      </c>
      <c r="E129" s="161">
        <v>9781799846284</v>
      </c>
      <c r="F129" s="160" t="s">
        <v>8851</v>
      </c>
      <c r="G129" s="160">
        <v>1</v>
      </c>
      <c r="H129" s="160" t="s">
        <v>6518</v>
      </c>
      <c r="I129" s="160" t="s">
        <v>8852</v>
      </c>
      <c r="J129" s="160" t="s">
        <v>569</v>
      </c>
      <c r="K129" s="160">
        <v>2021</v>
      </c>
      <c r="L129" s="160" t="s">
        <v>9139</v>
      </c>
      <c r="M129" s="168" t="s">
        <v>8853</v>
      </c>
      <c r="N129" s="162"/>
      <c r="O129" s="162"/>
      <c r="P129" s="162"/>
      <c r="Q129" s="162"/>
      <c r="R129" s="162"/>
      <c r="S129" s="162"/>
    </row>
    <row r="130" spans="1:19" ht="16.350000000000001" customHeight="1">
      <c r="A130" s="167">
        <v>13</v>
      </c>
      <c r="B130" s="160" t="s">
        <v>5071</v>
      </c>
      <c r="C130" s="160" t="s">
        <v>9166</v>
      </c>
      <c r="D130" s="161">
        <v>9781522505174</v>
      </c>
      <c r="E130" s="161">
        <v>9781522505167</v>
      </c>
      <c r="F130" s="160" t="s">
        <v>8533</v>
      </c>
      <c r="G130" s="160">
        <v>1</v>
      </c>
      <c r="H130" s="160" t="s">
        <v>6518</v>
      </c>
      <c r="I130" s="160" t="s">
        <v>8534</v>
      </c>
      <c r="J130" s="160" t="s">
        <v>569</v>
      </c>
      <c r="K130" s="160">
        <v>2017</v>
      </c>
      <c r="L130" s="160" t="s">
        <v>9139</v>
      </c>
      <c r="M130" s="168" t="s">
        <v>8535</v>
      </c>
      <c r="N130" s="162"/>
      <c r="O130" s="162"/>
      <c r="P130" s="162"/>
      <c r="Q130" s="162"/>
      <c r="R130" s="162"/>
      <c r="S130" s="162"/>
    </row>
    <row r="131" spans="1:19" ht="16.350000000000001" customHeight="1">
      <c r="A131" s="167">
        <v>60</v>
      </c>
      <c r="B131" s="160" t="s">
        <v>5071</v>
      </c>
      <c r="C131" s="160" t="s">
        <v>9166</v>
      </c>
      <c r="D131" s="161">
        <v>9781522554134</v>
      </c>
      <c r="E131" s="161">
        <v>9781522554127</v>
      </c>
      <c r="F131" s="160" t="s">
        <v>8661</v>
      </c>
      <c r="G131" s="160">
        <v>1</v>
      </c>
      <c r="H131" s="160" t="s">
        <v>6518</v>
      </c>
      <c r="I131" s="160" t="s">
        <v>8662</v>
      </c>
      <c r="J131" s="160" t="s">
        <v>569</v>
      </c>
      <c r="K131" s="160">
        <v>2020</v>
      </c>
      <c r="L131" s="160" t="s">
        <v>9139</v>
      </c>
      <c r="M131" s="168" t="s">
        <v>8663</v>
      </c>
      <c r="N131" s="162"/>
      <c r="O131" s="162"/>
      <c r="P131" s="162"/>
      <c r="Q131" s="162"/>
      <c r="R131" s="162"/>
      <c r="S131" s="162"/>
    </row>
    <row r="132" spans="1:19" ht="16.350000000000001" customHeight="1">
      <c r="A132" s="167">
        <v>111</v>
      </c>
      <c r="B132" s="160" t="s">
        <v>5071</v>
      </c>
      <c r="C132" s="160" t="s">
        <v>9166</v>
      </c>
      <c r="D132" s="161">
        <v>9781799835783</v>
      </c>
      <c r="E132" s="161">
        <v>9781799835769</v>
      </c>
      <c r="F132" s="160" t="s">
        <v>8803</v>
      </c>
      <c r="G132" s="160">
        <v>1</v>
      </c>
      <c r="H132" s="160" t="s">
        <v>6518</v>
      </c>
      <c r="I132" s="160" t="s">
        <v>8804</v>
      </c>
      <c r="J132" s="160" t="s">
        <v>569</v>
      </c>
      <c r="K132" s="160">
        <v>2020</v>
      </c>
      <c r="L132" s="160" t="s">
        <v>9139</v>
      </c>
      <c r="M132" s="168" t="s">
        <v>8805</v>
      </c>
      <c r="N132" s="162"/>
      <c r="O132" s="162"/>
      <c r="P132" s="162"/>
      <c r="Q132" s="162"/>
      <c r="R132" s="162"/>
      <c r="S132" s="162"/>
    </row>
    <row r="133" spans="1:19" ht="16.350000000000001" customHeight="1">
      <c r="A133" s="167">
        <v>112</v>
      </c>
      <c r="B133" s="160" t="s">
        <v>5071</v>
      </c>
      <c r="C133" s="160" t="s">
        <v>9166</v>
      </c>
      <c r="D133" s="161">
        <v>9781799815280</v>
      </c>
      <c r="E133" s="161">
        <v>9781799815266</v>
      </c>
      <c r="F133" s="160" t="s">
        <v>8806</v>
      </c>
      <c r="G133" s="160">
        <v>1</v>
      </c>
      <c r="H133" s="160" t="s">
        <v>6518</v>
      </c>
      <c r="I133" s="160" t="s">
        <v>8807</v>
      </c>
      <c r="J133" s="160" t="s">
        <v>569</v>
      </c>
      <c r="K133" s="160">
        <v>2020</v>
      </c>
      <c r="L133" s="160" t="s">
        <v>9139</v>
      </c>
      <c r="M133" s="168" t="s">
        <v>8808</v>
      </c>
      <c r="N133" s="162"/>
      <c r="O133" s="162"/>
      <c r="P133" s="162"/>
      <c r="Q133" s="162"/>
      <c r="R133" s="162"/>
      <c r="S133" s="162"/>
    </row>
    <row r="134" spans="1:19" ht="16.350000000000001" customHeight="1">
      <c r="A134" s="167">
        <v>118</v>
      </c>
      <c r="B134" s="160" t="s">
        <v>5071</v>
      </c>
      <c r="C134" s="160" t="s">
        <v>9166</v>
      </c>
      <c r="D134" s="161">
        <v>9781799836780</v>
      </c>
      <c r="E134" s="161">
        <v>9781799836773</v>
      </c>
      <c r="F134" s="160" t="s">
        <v>8825</v>
      </c>
      <c r="G134" s="160">
        <v>1</v>
      </c>
      <c r="H134" s="160" t="s">
        <v>6518</v>
      </c>
      <c r="I134" s="160" t="s">
        <v>8826</v>
      </c>
      <c r="J134" s="160" t="s">
        <v>569</v>
      </c>
      <c r="K134" s="160">
        <v>2020</v>
      </c>
      <c r="L134" s="160" t="s">
        <v>9139</v>
      </c>
      <c r="M134" s="168" t="s">
        <v>8827</v>
      </c>
      <c r="N134" s="162"/>
      <c r="O134" s="162"/>
      <c r="P134" s="162"/>
      <c r="Q134" s="162"/>
      <c r="R134" s="162"/>
      <c r="S134" s="162"/>
    </row>
    <row r="135" spans="1:19" ht="16.350000000000001" customHeight="1">
      <c r="A135" s="167">
        <v>126</v>
      </c>
      <c r="B135" s="160" t="s">
        <v>5071</v>
      </c>
      <c r="C135" s="160" t="s">
        <v>9166</v>
      </c>
      <c r="D135" s="161">
        <v>9781799845713</v>
      </c>
      <c r="E135" s="161">
        <v>9781799845706</v>
      </c>
      <c r="F135" s="160" t="s">
        <v>8849</v>
      </c>
      <c r="G135" s="160">
        <v>1</v>
      </c>
      <c r="H135" s="160" t="s">
        <v>6518</v>
      </c>
      <c r="I135" s="160" t="s">
        <v>6024</v>
      </c>
      <c r="J135" s="160" t="s">
        <v>569</v>
      </c>
      <c r="K135" s="160">
        <v>2021</v>
      </c>
      <c r="L135" s="160" t="s">
        <v>9139</v>
      </c>
      <c r="M135" s="168" t="s">
        <v>8850</v>
      </c>
      <c r="N135" s="162"/>
      <c r="O135" s="162"/>
      <c r="P135" s="162"/>
      <c r="Q135" s="162"/>
      <c r="R135" s="162"/>
      <c r="S135" s="162"/>
    </row>
    <row r="136" spans="1:19" ht="16.350000000000001" customHeight="1">
      <c r="A136" s="167">
        <v>89</v>
      </c>
      <c r="B136" s="160" t="s">
        <v>5071</v>
      </c>
      <c r="C136" s="160" t="s">
        <v>9167</v>
      </c>
      <c r="D136" s="161">
        <v>9781799817321</v>
      </c>
      <c r="E136" s="161">
        <v>9781799817307</v>
      </c>
      <c r="F136" s="160" t="s">
        <v>8739</v>
      </c>
      <c r="G136" s="160">
        <v>1</v>
      </c>
      <c r="H136" s="160" t="s">
        <v>6518</v>
      </c>
      <c r="I136" s="160" t="s">
        <v>8740</v>
      </c>
      <c r="J136" s="160" t="s">
        <v>568</v>
      </c>
      <c r="K136" s="160">
        <v>2020</v>
      </c>
      <c r="L136" s="160" t="s">
        <v>9139</v>
      </c>
      <c r="M136" s="168" t="s">
        <v>8741</v>
      </c>
      <c r="N136" s="162"/>
      <c r="O136" s="162"/>
      <c r="P136" s="162"/>
      <c r="Q136" s="162"/>
      <c r="R136" s="162"/>
      <c r="S136" s="162"/>
    </row>
    <row r="137" spans="1:19" ht="16.350000000000001" customHeight="1">
      <c r="A137" s="167">
        <v>26</v>
      </c>
      <c r="B137" s="160" t="s">
        <v>5071</v>
      </c>
      <c r="C137" s="160" t="s">
        <v>9168</v>
      </c>
      <c r="D137" s="161">
        <v>9781522579502</v>
      </c>
      <c r="E137" s="161">
        <v>9781522579496</v>
      </c>
      <c r="F137" s="160" t="s">
        <v>8568</v>
      </c>
      <c r="G137" s="160">
        <v>1</v>
      </c>
      <c r="H137" s="160" t="s">
        <v>6518</v>
      </c>
      <c r="I137" s="160" t="s">
        <v>8569</v>
      </c>
      <c r="J137" s="160" t="s">
        <v>569</v>
      </c>
      <c r="K137" s="160">
        <v>2019</v>
      </c>
      <c r="L137" s="160" t="s">
        <v>9139</v>
      </c>
      <c r="M137" s="168" t="s">
        <v>8570</v>
      </c>
      <c r="N137" s="162"/>
      <c r="O137" s="162"/>
      <c r="P137" s="162"/>
      <c r="Q137" s="162"/>
      <c r="R137" s="162"/>
      <c r="S137" s="162"/>
    </row>
    <row r="138" spans="1:19" ht="16.350000000000001" customHeight="1">
      <c r="A138" s="167">
        <v>29</v>
      </c>
      <c r="B138" s="160" t="s">
        <v>5071</v>
      </c>
      <c r="C138" s="160" t="s">
        <v>9168</v>
      </c>
      <c r="D138" s="161">
        <v>9781522577584</v>
      </c>
      <c r="E138" s="161">
        <v>9781522577577</v>
      </c>
      <c r="F138" s="160" t="s">
        <v>8577</v>
      </c>
      <c r="G138" s="160">
        <v>1</v>
      </c>
      <c r="H138" s="160" t="s">
        <v>6518</v>
      </c>
      <c r="I138" s="160" t="s">
        <v>8578</v>
      </c>
      <c r="J138" s="160" t="s">
        <v>569</v>
      </c>
      <c r="K138" s="160">
        <v>2019</v>
      </c>
      <c r="L138" s="160" t="s">
        <v>9139</v>
      </c>
      <c r="M138" s="168" t="s">
        <v>8579</v>
      </c>
      <c r="N138" s="162"/>
      <c r="O138" s="162"/>
      <c r="P138" s="162"/>
      <c r="Q138" s="162"/>
      <c r="R138" s="162"/>
      <c r="S138" s="162"/>
    </row>
    <row r="139" spans="1:19" ht="16.350000000000001" customHeight="1">
      <c r="A139" s="167">
        <v>37</v>
      </c>
      <c r="B139" s="160" t="s">
        <v>5071</v>
      </c>
      <c r="C139" s="160" t="s">
        <v>9168</v>
      </c>
      <c r="D139" s="161">
        <v>9781522570288</v>
      </c>
      <c r="E139" s="161">
        <v>9781522570271</v>
      </c>
      <c r="F139" s="160" t="s">
        <v>8599</v>
      </c>
      <c r="G139" s="160">
        <v>1</v>
      </c>
      <c r="H139" s="160" t="s">
        <v>6518</v>
      </c>
      <c r="I139" s="160" t="s">
        <v>7080</v>
      </c>
      <c r="J139" s="160" t="s">
        <v>569</v>
      </c>
      <c r="K139" s="160">
        <v>2019</v>
      </c>
      <c r="L139" s="160" t="s">
        <v>9139</v>
      </c>
      <c r="M139" s="168" t="s">
        <v>8600</v>
      </c>
      <c r="N139" s="162"/>
      <c r="O139" s="162"/>
      <c r="P139" s="162"/>
      <c r="Q139" s="162"/>
      <c r="R139" s="162"/>
      <c r="S139" s="162"/>
    </row>
    <row r="140" spans="1:19" ht="16.350000000000001" customHeight="1">
      <c r="A140" s="167">
        <v>56</v>
      </c>
      <c r="B140" s="160" t="s">
        <v>5071</v>
      </c>
      <c r="C140" s="160" t="s">
        <v>9168</v>
      </c>
      <c r="D140" s="161">
        <v>9781522591979</v>
      </c>
      <c r="E140" s="161">
        <v>9781522591955</v>
      </c>
      <c r="F140" s="160" t="s">
        <v>8650</v>
      </c>
      <c r="G140" s="160">
        <v>1</v>
      </c>
      <c r="H140" s="160" t="s">
        <v>6518</v>
      </c>
      <c r="I140" s="160" t="s">
        <v>8651</v>
      </c>
      <c r="J140" s="160" t="s">
        <v>569</v>
      </c>
      <c r="K140" s="160">
        <v>2020</v>
      </c>
      <c r="L140" s="160" t="s">
        <v>9139</v>
      </c>
      <c r="M140" s="168" t="s">
        <v>8652</v>
      </c>
      <c r="N140" s="162"/>
      <c r="O140" s="162"/>
      <c r="P140" s="162"/>
      <c r="Q140" s="162"/>
      <c r="R140" s="162"/>
      <c r="S140" s="162"/>
    </row>
    <row r="141" spans="1:19" ht="16.350000000000001" customHeight="1">
      <c r="A141" s="167">
        <v>65</v>
      </c>
      <c r="B141" s="160" t="s">
        <v>5071</v>
      </c>
      <c r="C141" s="160" t="s">
        <v>9168</v>
      </c>
      <c r="D141" s="161">
        <v>9781799812241</v>
      </c>
      <c r="E141" s="161">
        <v>9781799812234</v>
      </c>
      <c r="F141" s="160" t="s">
        <v>8676</v>
      </c>
      <c r="G141" s="160">
        <v>1</v>
      </c>
      <c r="H141" s="160" t="s">
        <v>6518</v>
      </c>
      <c r="I141" s="160" t="s">
        <v>7043</v>
      </c>
      <c r="J141" s="160" t="s">
        <v>561</v>
      </c>
      <c r="K141" s="160">
        <v>2020</v>
      </c>
      <c r="L141" s="160" t="s">
        <v>9139</v>
      </c>
      <c r="M141" s="168" t="s">
        <v>8677</v>
      </c>
      <c r="N141" s="162"/>
      <c r="O141" s="162"/>
      <c r="P141" s="162"/>
      <c r="Q141" s="162"/>
      <c r="R141" s="162"/>
      <c r="S141" s="162"/>
    </row>
    <row r="142" spans="1:19" ht="16.350000000000001" customHeight="1">
      <c r="A142" s="167">
        <v>70</v>
      </c>
      <c r="B142" s="160" t="s">
        <v>5071</v>
      </c>
      <c r="C142" s="160" t="s">
        <v>9168</v>
      </c>
      <c r="D142" s="161">
        <v>9781799804246</v>
      </c>
      <c r="E142" s="161">
        <v>9781799804239</v>
      </c>
      <c r="F142" s="160" t="s">
        <v>8690</v>
      </c>
      <c r="G142" s="160">
        <v>1</v>
      </c>
      <c r="H142" s="160" t="s">
        <v>6518</v>
      </c>
      <c r="I142" s="160" t="s">
        <v>3446</v>
      </c>
      <c r="J142" s="160" t="s">
        <v>569</v>
      </c>
      <c r="K142" s="160">
        <v>2020</v>
      </c>
      <c r="L142" s="160" t="s">
        <v>9139</v>
      </c>
      <c r="M142" s="168" t="s">
        <v>8691</v>
      </c>
      <c r="N142" s="162"/>
      <c r="O142" s="162"/>
      <c r="P142" s="162"/>
      <c r="Q142" s="162"/>
      <c r="R142" s="162"/>
      <c r="S142" s="162"/>
    </row>
    <row r="143" spans="1:19" ht="16.350000000000001" customHeight="1">
      <c r="A143" s="167">
        <v>82</v>
      </c>
      <c r="B143" s="160" t="s">
        <v>5071</v>
      </c>
      <c r="C143" s="160" t="s">
        <v>9168</v>
      </c>
      <c r="D143" s="161">
        <v>9781799812081</v>
      </c>
      <c r="E143" s="161">
        <v>9781799812074</v>
      </c>
      <c r="F143" s="160" t="s">
        <v>8721</v>
      </c>
      <c r="G143" s="160">
        <v>1</v>
      </c>
      <c r="H143" s="160" t="s">
        <v>6518</v>
      </c>
      <c r="I143" s="160" t="s">
        <v>3446</v>
      </c>
      <c r="J143" s="160" t="s">
        <v>569</v>
      </c>
      <c r="K143" s="160">
        <v>2020</v>
      </c>
      <c r="L143" s="160" t="s">
        <v>9139</v>
      </c>
      <c r="M143" s="168" t="s">
        <v>8722</v>
      </c>
      <c r="N143" s="162"/>
      <c r="O143" s="162"/>
      <c r="P143" s="162"/>
      <c r="Q143" s="162"/>
      <c r="R143" s="162"/>
      <c r="S143" s="162"/>
    </row>
    <row r="144" spans="1:19" ht="16.350000000000001" customHeight="1">
      <c r="A144" s="167">
        <v>103</v>
      </c>
      <c r="B144" s="160" t="s">
        <v>5071</v>
      </c>
      <c r="C144" s="160" t="s">
        <v>9168</v>
      </c>
      <c r="D144" s="161">
        <v>9781799829614</v>
      </c>
      <c r="E144" s="161">
        <v>9781799829591</v>
      </c>
      <c r="F144" s="160" t="s">
        <v>8779</v>
      </c>
      <c r="G144" s="160">
        <v>1</v>
      </c>
      <c r="H144" s="160" t="s">
        <v>6518</v>
      </c>
      <c r="I144" s="160" t="s">
        <v>8780</v>
      </c>
      <c r="J144" s="160" t="s">
        <v>569</v>
      </c>
      <c r="K144" s="160">
        <v>2021</v>
      </c>
      <c r="L144" s="160" t="s">
        <v>9139</v>
      </c>
      <c r="M144" s="168" t="s">
        <v>8781</v>
      </c>
      <c r="N144" s="162"/>
      <c r="O144" s="162"/>
      <c r="P144" s="162"/>
      <c r="Q144" s="162"/>
      <c r="R144" s="162"/>
      <c r="S144" s="162"/>
    </row>
    <row r="145" spans="1:19" ht="16.350000000000001" customHeight="1">
      <c r="A145" s="167">
        <v>106</v>
      </c>
      <c r="B145" s="160" t="s">
        <v>5071</v>
      </c>
      <c r="C145" s="160" t="s">
        <v>9168</v>
      </c>
      <c r="D145" s="161">
        <v>9781799809715</v>
      </c>
      <c r="E145" s="161">
        <v>9781799809692</v>
      </c>
      <c r="F145" s="160" t="s">
        <v>8788</v>
      </c>
      <c r="G145" s="160">
        <v>1</v>
      </c>
      <c r="H145" s="160" t="s">
        <v>6518</v>
      </c>
      <c r="I145" s="160" t="s">
        <v>8789</v>
      </c>
      <c r="J145" s="160" t="s">
        <v>569</v>
      </c>
      <c r="K145" s="160">
        <v>2020</v>
      </c>
      <c r="L145" s="160" t="s">
        <v>9139</v>
      </c>
      <c r="M145" s="168" t="s">
        <v>8790</v>
      </c>
      <c r="N145" s="162"/>
      <c r="O145" s="162"/>
      <c r="P145" s="162"/>
      <c r="Q145" s="162"/>
      <c r="R145" s="162"/>
      <c r="S145" s="162"/>
    </row>
    <row r="146" spans="1:19" ht="16.350000000000001" customHeight="1">
      <c r="A146" s="167">
        <v>108</v>
      </c>
      <c r="B146" s="160" t="s">
        <v>5071</v>
      </c>
      <c r="C146" s="160" t="s">
        <v>9168</v>
      </c>
      <c r="D146" s="161">
        <v>9781799831891</v>
      </c>
      <c r="E146" s="161">
        <v>9781799831877</v>
      </c>
      <c r="F146" s="160" t="s">
        <v>8794</v>
      </c>
      <c r="G146" s="160">
        <v>1</v>
      </c>
      <c r="H146" s="160" t="s">
        <v>6518</v>
      </c>
      <c r="I146" s="160" t="s">
        <v>8795</v>
      </c>
      <c r="J146" s="160" t="s">
        <v>569</v>
      </c>
      <c r="K146" s="160">
        <v>2020</v>
      </c>
      <c r="L146" s="160" t="s">
        <v>9139</v>
      </c>
      <c r="M146" s="168" t="s">
        <v>8796</v>
      </c>
      <c r="N146" s="162"/>
      <c r="O146" s="162"/>
      <c r="P146" s="162"/>
      <c r="Q146" s="162"/>
      <c r="R146" s="162"/>
      <c r="S146" s="162"/>
    </row>
    <row r="147" spans="1:19" ht="16.350000000000001" customHeight="1">
      <c r="A147" s="167">
        <v>116</v>
      </c>
      <c r="B147" s="160" t="s">
        <v>5071</v>
      </c>
      <c r="C147" s="160" t="s">
        <v>9168</v>
      </c>
      <c r="D147" s="161">
        <v>9781799846086</v>
      </c>
      <c r="E147" s="161">
        <v>9781799846079</v>
      </c>
      <c r="F147" s="160" t="s">
        <v>8819</v>
      </c>
      <c r="G147" s="160">
        <v>1</v>
      </c>
      <c r="H147" s="160" t="s">
        <v>6518</v>
      </c>
      <c r="I147" s="160" t="s">
        <v>8820</v>
      </c>
      <c r="J147" s="160" t="s">
        <v>1233</v>
      </c>
      <c r="K147" s="160">
        <v>2021</v>
      </c>
      <c r="L147" s="160" t="s">
        <v>9139</v>
      </c>
      <c r="M147" s="168" t="s">
        <v>8821</v>
      </c>
      <c r="N147" s="162"/>
      <c r="O147" s="162"/>
      <c r="P147" s="162"/>
      <c r="Q147" s="162"/>
      <c r="R147" s="162"/>
      <c r="S147" s="162"/>
    </row>
    <row r="148" spans="1:19" ht="16.350000000000001" customHeight="1">
      <c r="A148" s="167">
        <v>7</v>
      </c>
      <c r="B148" s="160" t="s">
        <v>5071</v>
      </c>
      <c r="C148" s="160" t="s">
        <v>9169</v>
      </c>
      <c r="D148" s="161">
        <v>9781466696686</v>
      </c>
      <c r="E148" s="161">
        <v>9781466696679</v>
      </c>
      <c r="F148" s="160" t="s">
        <v>8516</v>
      </c>
      <c r="G148" s="160">
        <v>1</v>
      </c>
      <c r="H148" s="160" t="s">
        <v>6518</v>
      </c>
      <c r="I148" s="160" t="s">
        <v>8517</v>
      </c>
      <c r="J148" s="160" t="s">
        <v>569</v>
      </c>
      <c r="K148" s="160">
        <v>2016</v>
      </c>
      <c r="L148" s="160" t="s">
        <v>9139</v>
      </c>
      <c r="M148" s="168" t="s">
        <v>8518</v>
      </c>
      <c r="N148" s="162"/>
      <c r="O148" s="162"/>
      <c r="P148" s="162"/>
      <c r="Q148" s="162"/>
      <c r="R148" s="162"/>
      <c r="S148" s="162"/>
    </row>
    <row r="149" spans="1:19" ht="16.350000000000001" customHeight="1">
      <c r="A149" s="167">
        <v>34</v>
      </c>
      <c r="B149" s="160" t="s">
        <v>5071</v>
      </c>
      <c r="C149" s="160" t="s">
        <v>9169</v>
      </c>
      <c r="D149" s="161">
        <v>9781522569992</v>
      </c>
      <c r="E149" s="161">
        <v>9781522569985</v>
      </c>
      <c r="F149" s="160" t="s">
        <v>8590</v>
      </c>
      <c r="G149" s="160">
        <v>1</v>
      </c>
      <c r="H149" s="160" t="s">
        <v>6518</v>
      </c>
      <c r="I149" s="160" t="s">
        <v>8591</v>
      </c>
      <c r="J149" s="160" t="s">
        <v>569</v>
      </c>
      <c r="K149" s="160">
        <v>2019</v>
      </c>
      <c r="L149" s="160" t="s">
        <v>9139</v>
      </c>
      <c r="M149" s="168" t="s">
        <v>8592</v>
      </c>
      <c r="N149" s="162"/>
      <c r="O149" s="162"/>
      <c r="P149" s="162"/>
      <c r="Q149" s="162"/>
      <c r="R149" s="162"/>
      <c r="S149" s="162"/>
    </row>
    <row r="150" spans="1:19" ht="16.350000000000001" customHeight="1">
      <c r="A150" s="167">
        <v>53</v>
      </c>
      <c r="B150" s="160" t="s">
        <v>5071</v>
      </c>
      <c r="C150" s="160" t="s">
        <v>9169</v>
      </c>
      <c r="D150" s="161">
        <v>9781522592631</v>
      </c>
      <c r="E150" s="161">
        <v>9781522592617</v>
      </c>
      <c r="F150" s="160" t="s">
        <v>8642</v>
      </c>
      <c r="G150" s="160">
        <v>1</v>
      </c>
      <c r="H150" s="160" t="s">
        <v>6518</v>
      </c>
      <c r="I150" s="160" t="s">
        <v>8517</v>
      </c>
      <c r="J150" s="160" t="s">
        <v>569</v>
      </c>
      <c r="K150" s="160">
        <v>2019</v>
      </c>
      <c r="L150" s="160" t="s">
        <v>9139</v>
      </c>
      <c r="M150" s="168" t="s">
        <v>8643</v>
      </c>
      <c r="N150" s="162"/>
      <c r="O150" s="162"/>
      <c r="P150" s="162"/>
      <c r="Q150" s="162"/>
      <c r="R150" s="162"/>
      <c r="S150" s="162"/>
    </row>
    <row r="151" spans="1:19" ht="16.350000000000001" customHeight="1">
      <c r="A151" s="167">
        <v>64</v>
      </c>
      <c r="B151" s="160" t="s">
        <v>5071</v>
      </c>
      <c r="C151" s="160" t="s">
        <v>9169</v>
      </c>
      <c r="D151" s="161">
        <v>9781799810452</v>
      </c>
      <c r="E151" s="161">
        <v>9781799810414</v>
      </c>
      <c r="F151" s="160" t="s">
        <v>8673</v>
      </c>
      <c r="G151" s="160">
        <v>1</v>
      </c>
      <c r="H151" s="160" t="s">
        <v>6518</v>
      </c>
      <c r="I151" s="160" t="s">
        <v>8674</v>
      </c>
      <c r="J151" s="160" t="s">
        <v>569</v>
      </c>
      <c r="K151" s="160">
        <v>2020</v>
      </c>
      <c r="L151" s="160" t="s">
        <v>9139</v>
      </c>
      <c r="M151" s="168" t="s">
        <v>8675</v>
      </c>
      <c r="N151" s="162"/>
      <c r="O151" s="162"/>
      <c r="P151" s="162"/>
      <c r="Q151" s="162"/>
      <c r="R151" s="162"/>
      <c r="S151" s="162"/>
    </row>
    <row r="152" spans="1:19" ht="16.350000000000001" customHeight="1">
      <c r="A152" s="167">
        <v>84</v>
      </c>
      <c r="B152" s="160" t="s">
        <v>5071</v>
      </c>
      <c r="C152" s="160" t="s">
        <v>9169</v>
      </c>
      <c r="D152" s="161">
        <v>9781799824343</v>
      </c>
      <c r="E152" s="161">
        <v>9781799824336</v>
      </c>
      <c r="F152" s="160" t="s">
        <v>8725</v>
      </c>
      <c r="G152" s="160">
        <v>1</v>
      </c>
      <c r="H152" s="160" t="s">
        <v>6518</v>
      </c>
      <c r="I152" s="160" t="s">
        <v>8726</v>
      </c>
      <c r="J152" s="160" t="s">
        <v>569</v>
      </c>
      <c r="K152" s="160">
        <v>2020</v>
      </c>
      <c r="L152" s="160" t="s">
        <v>9139</v>
      </c>
      <c r="M152" s="168" t="s">
        <v>8727</v>
      </c>
      <c r="N152" s="162"/>
      <c r="O152" s="162"/>
      <c r="P152" s="162"/>
      <c r="Q152" s="162"/>
      <c r="R152" s="162"/>
      <c r="S152" s="162"/>
    </row>
    <row r="153" spans="1:19" ht="16.350000000000001" customHeight="1">
      <c r="A153" s="167">
        <v>122</v>
      </c>
      <c r="B153" s="160" t="s">
        <v>5071</v>
      </c>
      <c r="C153" s="160" t="s">
        <v>9169</v>
      </c>
      <c r="D153" s="161">
        <v>9781799844211</v>
      </c>
      <c r="E153" s="161">
        <v>9781799844204</v>
      </c>
      <c r="F153" s="160" t="s">
        <v>8837</v>
      </c>
      <c r="G153" s="160">
        <v>1</v>
      </c>
      <c r="H153" s="160" t="s">
        <v>6518</v>
      </c>
      <c r="I153" s="160" t="s">
        <v>8838</v>
      </c>
      <c r="J153" s="160" t="s">
        <v>569</v>
      </c>
      <c r="K153" s="160">
        <v>2021</v>
      </c>
      <c r="L153" s="160" t="s">
        <v>9139</v>
      </c>
      <c r="M153" s="168" t="s">
        <v>8839</v>
      </c>
      <c r="N153" s="162"/>
      <c r="O153" s="162"/>
      <c r="P153" s="162"/>
      <c r="Q153" s="162"/>
      <c r="R153" s="162"/>
      <c r="S153" s="162"/>
    </row>
    <row r="154" spans="1:19" ht="16.350000000000001" customHeight="1">
      <c r="A154" s="167">
        <v>14</v>
      </c>
      <c r="B154" s="160" t="s">
        <v>5071</v>
      </c>
      <c r="C154" s="160" t="s">
        <v>9170</v>
      </c>
      <c r="D154" s="161">
        <v>9781522552147</v>
      </c>
      <c r="E154" s="161">
        <v>9781522552130</v>
      </c>
      <c r="F154" s="160" t="s">
        <v>8536</v>
      </c>
      <c r="G154" s="160">
        <v>1</v>
      </c>
      <c r="H154" s="160" t="s">
        <v>6518</v>
      </c>
      <c r="I154" s="160" t="s">
        <v>5761</v>
      </c>
      <c r="J154" s="160" t="s">
        <v>568</v>
      </c>
      <c r="K154" s="160">
        <v>2018</v>
      </c>
      <c r="L154" s="160" t="s">
        <v>9139</v>
      </c>
      <c r="M154" s="168" t="s">
        <v>8537</v>
      </c>
      <c r="N154" s="162"/>
      <c r="O154" s="162"/>
      <c r="P154" s="162"/>
      <c r="Q154" s="162"/>
      <c r="R154" s="162"/>
      <c r="S154" s="162"/>
    </row>
    <row r="155" spans="1:19" ht="16.350000000000001" customHeight="1">
      <c r="A155" s="167">
        <v>22</v>
      </c>
      <c r="B155" s="160" t="s">
        <v>5071</v>
      </c>
      <c r="C155" s="160" t="s">
        <v>9170</v>
      </c>
      <c r="D155" s="161">
        <v>9781522578185</v>
      </c>
      <c r="E155" s="161">
        <v>9781522578178</v>
      </c>
      <c r="F155" s="160" t="s">
        <v>8556</v>
      </c>
      <c r="G155" s="160">
        <v>1</v>
      </c>
      <c r="H155" s="160" t="s">
        <v>6518</v>
      </c>
      <c r="I155" s="160" t="s">
        <v>8557</v>
      </c>
      <c r="J155" s="160" t="s">
        <v>568</v>
      </c>
      <c r="K155" s="160">
        <v>2019</v>
      </c>
      <c r="L155" s="160" t="s">
        <v>9139</v>
      </c>
      <c r="M155" s="168" t="s">
        <v>8558</v>
      </c>
      <c r="N155" s="162"/>
      <c r="O155" s="162"/>
      <c r="P155" s="162"/>
      <c r="Q155" s="162"/>
      <c r="R155" s="162"/>
      <c r="S155" s="162"/>
    </row>
    <row r="156" spans="1:19" ht="16.350000000000001" customHeight="1">
      <c r="A156" s="167">
        <v>23</v>
      </c>
      <c r="B156" s="160" t="s">
        <v>5071</v>
      </c>
      <c r="C156" s="160" t="s">
        <v>9170</v>
      </c>
      <c r="D156" s="161">
        <v>9781522573579</v>
      </c>
      <c r="E156" s="161">
        <v>9781522573562</v>
      </c>
      <c r="F156" s="160" t="s">
        <v>8559</v>
      </c>
      <c r="G156" s="160">
        <v>1</v>
      </c>
      <c r="H156" s="160" t="s">
        <v>6518</v>
      </c>
      <c r="I156" s="160" t="s">
        <v>8560</v>
      </c>
      <c r="J156" s="160" t="s">
        <v>568</v>
      </c>
      <c r="K156" s="160">
        <v>2019</v>
      </c>
      <c r="L156" s="160" t="s">
        <v>9139</v>
      </c>
      <c r="M156" s="168" t="s">
        <v>8561</v>
      </c>
      <c r="N156" s="162"/>
      <c r="O156" s="162"/>
      <c r="P156" s="162"/>
      <c r="Q156" s="162"/>
      <c r="R156" s="162"/>
      <c r="S156" s="162"/>
    </row>
    <row r="157" spans="1:19" ht="16.350000000000001" customHeight="1">
      <c r="A157" s="167">
        <v>58</v>
      </c>
      <c r="B157" s="160" t="s">
        <v>5071</v>
      </c>
      <c r="C157" s="160" t="s">
        <v>9170</v>
      </c>
      <c r="D157" s="161">
        <v>9781799801801</v>
      </c>
      <c r="E157" s="161">
        <v>9781799801788</v>
      </c>
      <c r="F157" s="160" t="s">
        <v>8656</v>
      </c>
      <c r="G157" s="160">
        <v>1</v>
      </c>
      <c r="H157" s="160" t="s">
        <v>6518</v>
      </c>
      <c r="I157" s="160" t="s">
        <v>2567</v>
      </c>
      <c r="J157" s="160" t="s">
        <v>568</v>
      </c>
      <c r="K157" s="160">
        <v>2020</v>
      </c>
      <c r="L157" s="160" t="s">
        <v>9139</v>
      </c>
      <c r="M157" s="168" t="s">
        <v>8657</v>
      </c>
      <c r="N157" s="162"/>
      <c r="O157" s="162"/>
      <c r="P157" s="162"/>
      <c r="Q157" s="162"/>
      <c r="R157" s="162"/>
      <c r="S157" s="162"/>
    </row>
    <row r="158" spans="1:19" ht="16.350000000000001" customHeight="1">
      <c r="A158" s="167">
        <v>67</v>
      </c>
      <c r="B158" s="160" t="s">
        <v>5071</v>
      </c>
      <c r="C158" s="160" t="s">
        <v>9170</v>
      </c>
      <c r="D158" s="161">
        <v>9781799801887</v>
      </c>
      <c r="E158" s="161">
        <v>9781799801863</v>
      </c>
      <c r="F158" s="160" t="s">
        <v>8681</v>
      </c>
      <c r="G158" s="160">
        <v>1</v>
      </c>
      <c r="H158" s="160" t="s">
        <v>6518</v>
      </c>
      <c r="I158" s="160" t="s">
        <v>8682</v>
      </c>
      <c r="J158" s="160" t="s">
        <v>568</v>
      </c>
      <c r="K158" s="160">
        <v>2020</v>
      </c>
      <c r="L158" s="160" t="s">
        <v>9139</v>
      </c>
      <c r="M158" s="168" t="s">
        <v>8683</v>
      </c>
      <c r="N158" s="162"/>
      <c r="O158" s="162"/>
      <c r="P158" s="162"/>
      <c r="Q158" s="162"/>
      <c r="R158" s="162"/>
      <c r="S158" s="162"/>
    </row>
    <row r="159" spans="1:19" ht="16.350000000000001" customHeight="1">
      <c r="A159" s="167">
        <v>75</v>
      </c>
      <c r="B159" s="160" t="s">
        <v>5071</v>
      </c>
      <c r="C159" s="160" t="s">
        <v>9170</v>
      </c>
      <c r="D159" s="161">
        <v>9781799811985</v>
      </c>
      <c r="E159" s="161">
        <v>9781799811961</v>
      </c>
      <c r="F159" s="160" t="s">
        <v>8703</v>
      </c>
      <c r="G159" s="160">
        <v>1</v>
      </c>
      <c r="H159" s="160" t="s">
        <v>6518</v>
      </c>
      <c r="I159" s="160" t="s">
        <v>5242</v>
      </c>
      <c r="J159" s="160" t="s">
        <v>568</v>
      </c>
      <c r="K159" s="160">
        <v>2020</v>
      </c>
      <c r="L159" s="160" t="s">
        <v>9139</v>
      </c>
      <c r="M159" s="168" t="s">
        <v>8704</v>
      </c>
      <c r="N159" s="162"/>
      <c r="O159" s="162"/>
      <c r="P159" s="162"/>
      <c r="Q159" s="162"/>
      <c r="R159" s="162"/>
      <c r="S159" s="162"/>
    </row>
    <row r="160" spans="1:19" ht="16.350000000000001" customHeight="1">
      <c r="A160" s="167">
        <v>91</v>
      </c>
      <c r="B160" s="160" t="s">
        <v>5071</v>
      </c>
      <c r="C160" s="160" t="s">
        <v>9170</v>
      </c>
      <c r="D160" s="161">
        <v>9781799818830</v>
      </c>
      <c r="E160" s="161">
        <v>9781799818823</v>
      </c>
      <c r="F160" s="160" t="s">
        <v>8745</v>
      </c>
      <c r="G160" s="160">
        <v>1</v>
      </c>
      <c r="H160" s="160" t="s">
        <v>6518</v>
      </c>
      <c r="I160" s="160" t="s">
        <v>8746</v>
      </c>
      <c r="J160" s="160" t="s">
        <v>568</v>
      </c>
      <c r="K160" s="160">
        <v>2020</v>
      </c>
      <c r="L160" s="160" t="s">
        <v>9139</v>
      </c>
      <c r="M160" s="168" t="s">
        <v>8747</v>
      </c>
      <c r="N160" s="162"/>
      <c r="O160" s="162"/>
      <c r="P160" s="162"/>
      <c r="Q160" s="162"/>
      <c r="R160" s="162"/>
      <c r="S160" s="162"/>
    </row>
    <row r="161" spans="1:19" ht="16.350000000000001" customHeight="1">
      <c r="A161" s="167">
        <v>97</v>
      </c>
      <c r="B161" s="160" t="s">
        <v>5071</v>
      </c>
      <c r="C161" s="160" t="s">
        <v>9170</v>
      </c>
      <c r="D161" s="161">
        <v>9781799824381</v>
      </c>
      <c r="E161" s="161">
        <v>9781799824367</v>
      </c>
      <c r="F161" s="160" t="s">
        <v>8763</v>
      </c>
      <c r="G161" s="160">
        <v>1</v>
      </c>
      <c r="H161" s="160" t="s">
        <v>6518</v>
      </c>
      <c r="I161" s="160" t="s">
        <v>7857</v>
      </c>
      <c r="J161" s="160" t="s">
        <v>568</v>
      </c>
      <c r="K161" s="160">
        <v>2020</v>
      </c>
      <c r="L161" s="160" t="s">
        <v>9139</v>
      </c>
      <c r="M161" s="168" t="s">
        <v>8764</v>
      </c>
      <c r="N161" s="162"/>
      <c r="O161" s="162"/>
      <c r="P161" s="162"/>
      <c r="Q161" s="162"/>
      <c r="R161" s="162"/>
      <c r="S161" s="162"/>
    </row>
    <row r="162" spans="1:19" ht="16.350000000000001" customHeight="1">
      <c r="A162" s="167">
        <v>99</v>
      </c>
      <c r="B162" s="160" t="s">
        <v>5071</v>
      </c>
      <c r="C162" s="160" t="s">
        <v>9170</v>
      </c>
      <c r="D162" s="161">
        <v>9781799824411</v>
      </c>
      <c r="E162" s="161">
        <v>9781799824404</v>
      </c>
      <c r="F162" s="160" t="s">
        <v>8768</v>
      </c>
      <c r="G162" s="160">
        <v>1</v>
      </c>
      <c r="H162" s="160" t="s">
        <v>6518</v>
      </c>
      <c r="I162" s="160" t="s">
        <v>8769</v>
      </c>
      <c r="J162" s="160" t="s">
        <v>568</v>
      </c>
      <c r="K162" s="160">
        <v>2020</v>
      </c>
      <c r="L162" s="160" t="s">
        <v>9139</v>
      </c>
      <c r="M162" s="168" t="s">
        <v>8770</v>
      </c>
      <c r="N162" s="162"/>
      <c r="O162" s="162"/>
      <c r="P162" s="162"/>
      <c r="Q162" s="162"/>
      <c r="R162" s="162"/>
      <c r="S162" s="162"/>
    </row>
    <row r="163" spans="1:19" ht="16.350000000000001" customHeight="1">
      <c r="A163" s="167">
        <v>100</v>
      </c>
      <c r="B163" s="160" t="s">
        <v>5071</v>
      </c>
      <c r="C163" s="160" t="s">
        <v>9170</v>
      </c>
      <c r="D163" s="161">
        <v>9781799821373</v>
      </c>
      <c r="E163" s="161">
        <v>9781799821366</v>
      </c>
      <c r="F163" s="160" t="s">
        <v>8771</v>
      </c>
      <c r="G163" s="160">
        <v>1</v>
      </c>
      <c r="H163" s="160" t="s">
        <v>6518</v>
      </c>
      <c r="I163" s="160" t="s">
        <v>8772</v>
      </c>
      <c r="J163" s="160" t="s">
        <v>568</v>
      </c>
      <c r="K163" s="160">
        <v>2020</v>
      </c>
      <c r="L163" s="160" t="s">
        <v>9139</v>
      </c>
      <c r="M163" s="168" t="s">
        <v>8773</v>
      </c>
      <c r="N163" s="162"/>
      <c r="O163" s="162"/>
      <c r="P163" s="162"/>
      <c r="Q163" s="162"/>
      <c r="R163" s="162"/>
      <c r="S163" s="162"/>
    </row>
    <row r="164" spans="1:19" ht="16.350000000000001" customHeight="1">
      <c r="A164" s="167">
        <v>110</v>
      </c>
      <c r="B164" s="160" t="s">
        <v>5071</v>
      </c>
      <c r="C164" s="160" t="s">
        <v>9170</v>
      </c>
      <c r="D164" s="161">
        <v>9781799832591</v>
      </c>
      <c r="E164" s="161">
        <v>9781799832577</v>
      </c>
      <c r="F164" s="160" t="s">
        <v>8800</v>
      </c>
      <c r="G164" s="160">
        <v>1</v>
      </c>
      <c r="H164" s="160" t="s">
        <v>6518</v>
      </c>
      <c r="I164" s="160" t="s">
        <v>8801</v>
      </c>
      <c r="J164" s="160" t="s">
        <v>568</v>
      </c>
      <c r="K164" s="160">
        <v>2021</v>
      </c>
      <c r="L164" s="160" t="s">
        <v>9139</v>
      </c>
      <c r="M164" s="168" t="s">
        <v>8802</v>
      </c>
      <c r="N164" s="162"/>
      <c r="O164" s="162"/>
      <c r="P164" s="162"/>
      <c r="Q164" s="162"/>
      <c r="R164" s="162"/>
      <c r="S164" s="162"/>
    </row>
    <row r="165" spans="1:19" ht="16.350000000000001" customHeight="1">
      <c r="A165" s="167">
        <v>133</v>
      </c>
      <c r="B165" s="160" t="s">
        <v>5071</v>
      </c>
      <c r="C165" s="160" t="s">
        <v>9170</v>
      </c>
      <c r="D165" s="161">
        <v>9781799850847</v>
      </c>
      <c r="E165" s="161">
        <v>9781799850830</v>
      </c>
      <c r="F165" s="160" t="s">
        <v>8867</v>
      </c>
      <c r="G165" s="160">
        <v>1</v>
      </c>
      <c r="H165" s="160" t="s">
        <v>6518</v>
      </c>
      <c r="I165" s="160" t="s">
        <v>8868</v>
      </c>
      <c r="J165" s="160" t="s">
        <v>568</v>
      </c>
      <c r="K165" s="160">
        <v>2021</v>
      </c>
      <c r="L165" s="160" t="s">
        <v>9139</v>
      </c>
      <c r="M165" s="168" t="s">
        <v>8869</v>
      </c>
      <c r="N165" s="162"/>
      <c r="O165" s="162"/>
      <c r="P165" s="162"/>
      <c r="Q165" s="162"/>
      <c r="R165" s="162"/>
      <c r="S165" s="162"/>
    </row>
    <row r="166" spans="1:19" ht="16.350000000000001" customHeight="1">
      <c r="A166" s="167">
        <v>1</v>
      </c>
      <c r="B166" s="160" t="s">
        <v>5071</v>
      </c>
      <c r="C166" s="160" t="s">
        <v>9171</v>
      </c>
      <c r="D166" s="161">
        <v>9781466685758</v>
      </c>
      <c r="E166" s="161">
        <v>9781466685741</v>
      </c>
      <c r="F166" s="160" t="s">
        <v>8500</v>
      </c>
      <c r="G166" s="160">
        <v>1</v>
      </c>
      <c r="H166" s="160" t="s">
        <v>6518</v>
      </c>
      <c r="I166" s="160" t="s">
        <v>8501</v>
      </c>
      <c r="J166" s="160" t="s">
        <v>561</v>
      </c>
      <c r="K166" s="160">
        <v>2015</v>
      </c>
      <c r="L166" s="160" t="s">
        <v>9139</v>
      </c>
      <c r="M166" s="168" t="s">
        <v>8502</v>
      </c>
      <c r="N166" s="162"/>
      <c r="O166" s="162"/>
      <c r="P166" s="162"/>
      <c r="Q166" s="162"/>
      <c r="R166" s="162"/>
      <c r="S166" s="162"/>
    </row>
    <row r="167" spans="1:19" ht="16.350000000000001" customHeight="1">
      <c r="A167" s="167">
        <v>2</v>
      </c>
      <c r="B167" s="160" t="s">
        <v>5071</v>
      </c>
      <c r="C167" s="160" t="s">
        <v>9171</v>
      </c>
      <c r="D167" s="161">
        <v>9781466674776</v>
      </c>
      <c r="E167" s="161">
        <v>9781466674769</v>
      </c>
      <c r="F167" s="160" t="s">
        <v>8503</v>
      </c>
      <c r="G167" s="160">
        <v>1</v>
      </c>
      <c r="H167" s="160" t="s">
        <v>6518</v>
      </c>
      <c r="I167" s="160" t="s">
        <v>8504</v>
      </c>
      <c r="J167" s="160" t="s">
        <v>568</v>
      </c>
      <c r="K167" s="160">
        <v>2015</v>
      </c>
      <c r="L167" s="160" t="s">
        <v>9139</v>
      </c>
      <c r="M167" s="168" t="s">
        <v>8505</v>
      </c>
      <c r="N167" s="162"/>
      <c r="O167" s="162"/>
      <c r="P167" s="162"/>
      <c r="Q167" s="162"/>
      <c r="R167" s="162"/>
      <c r="S167" s="162"/>
    </row>
    <row r="168" spans="1:19" ht="16.350000000000001" customHeight="1">
      <c r="A168" s="167">
        <v>3</v>
      </c>
      <c r="B168" s="160" t="s">
        <v>5071</v>
      </c>
      <c r="C168" s="160" t="s">
        <v>9171</v>
      </c>
      <c r="D168" s="161">
        <v>9781466674202</v>
      </c>
      <c r="E168" s="161">
        <v>9781466674196</v>
      </c>
      <c r="F168" s="160" t="s">
        <v>8506</v>
      </c>
      <c r="G168" s="160">
        <v>1</v>
      </c>
      <c r="H168" s="160" t="s">
        <v>6518</v>
      </c>
      <c r="I168" s="160" t="s">
        <v>8507</v>
      </c>
      <c r="J168" s="160" t="s">
        <v>568</v>
      </c>
      <c r="K168" s="160">
        <v>2015</v>
      </c>
      <c r="L168" s="160" t="s">
        <v>9139</v>
      </c>
      <c r="M168" s="168" t="s">
        <v>8508</v>
      </c>
      <c r="N168" s="162"/>
      <c r="O168" s="162"/>
      <c r="P168" s="162"/>
      <c r="Q168" s="162"/>
      <c r="R168" s="162"/>
      <c r="S168" s="162"/>
    </row>
    <row r="169" spans="1:19" ht="16.350000000000001" customHeight="1">
      <c r="A169" s="167">
        <v>6</v>
      </c>
      <c r="B169" s="160" t="s">
        <v>5071</v>
      </c>
      <c r="C169" s="160" t="s">
        <v>9171</v>
      </c>
      <c r="D169" s="161">
        <v>9781522500148</v>
      </c>
      <c r="E169" s="161">
        <v>9781522500131</v>
      </c>
      <c r="F169" s="160" t="s">
        <v>8513</v>
      </c>
      <c r="G169" s="160">
        <v>1</v>
      </c>
      <c r="H169" s="160" t="s">
        <v>6518</v>
      </c>
      <c r="I169" s="160" t="s">
        <v>8514</v>
      </c>
      <c r="J169" s="160" t="s">
        <v>568</v>
      </c>
      <c r="K169" s="160">
        <v>2016</v>
      </c>
      <c r="L169" s="160" t="s">
        <v>9139</v>
      </c>
      <c r="M169" s="168" t="s">
        <v>8515</v>
      </c>
      <c r="N169" s="162"/>
      <c r="O169" s="162"/>
      <c r="P169" s="162"/>
      <c r="Q169" s="162"/>
      <c r="R169" s="162"/>
      <c r="S169" s="162"/>
    </row>
    <row r="170" spans="1:19" ht="16.350000000000001" customHeight="1">
      <c r="A170" s="167">
        <v>9</v>
      </c>
      <c r="B170" s="160" t="s">
        <v>5071</v>
      </c>
      <c r="C170" s="160" t="s">
        <v>9171</v>
      </c>
      <c r="D170" s="161">
        <v>9781522522461</v>
      </c>
      <c r="E170" s="161">
        <v>9781522522454</v>
      </c>
      <c r="F170" s="160" t="s">
        <v>8522</v>
      </c>
      <c r="G170" s="160">
        <v>1</v>
      </c>
      <c r="H170" s="160" t="s">
        <v>6518</v>
      </c>
      <c r="I170" s="160" t="s">
        <v>2596</v>
      </c>
      <c r="J170" s="160" t="s">
        <v>568</v>
      </c>
      <c r="K170" s="160">
        <v>2017</v>
      </c>
      <c r="L170" s="160" t="s">
        <v>9139</v>
      </c>
      <c r="M170" s="168" t="s">
        <v>8523</v>
      </c>
      <c r="N170" s="162"/>
      <c r="O170" s="162"/>
      <c r="P170" s="162"/>
      <c r="Q170" s="162"/>
      <c r="R170" s="162"/>
      <c r="S170" s="162"/>
    </row>
    <row r="171" spans="1:19" ht="16.350000000000001" customHeight="1">
      <c r="A171" s="167">
        <v>11</v>
      </c>
      <c r="B171" s="160" t="s">
        <v>5071</v>
      </c>
      <c r="C171" s="160" t="s">
        <v>9171</v>
      </c>
      <c r="D171" s="161">
        <v>9781522519928</v>
      </c>
      <c r="E171" s="161">
        <v>9781522519911</v>
      </c>
      <c r="F171" s="160" t="s">
        <v>8527</v>
      </c>
      <c r="G171" s="160">
        <v>1</v>
      </c>
      <c r="H171" s="160" t="s">
        <v>6518</v>
      </c>
      <c r="I171" s="160" t="s">
        <v>8528</v>
      </c>
      <c r="J171" s="160" t="s">
        <v>568</v>
      </c>
      <c r="K171" s="160">
        <v>2017</v>
      </c>
      <c r="L171" s="160" t="s">
        <v>9139</v>
      </c>
      <c r="M171" s="168" t="s">
        <v>8529</v>
      </c>
      <c r="N171" s="162"/>
      <c r="O171" s="162"/>
      <c r="P171" s="162"/>
      <c r="Q171" s="162"/>
      <c r="R171" s="162"/>
      <c r="S171" s="162"/>
    </row>
    <row r="172" spans="1:19" ht="16.350000000000001" customHeight="1">
      <c r="A172" s="167">
        <v>15</v>
      </c>
      <c r="B172" s="160" t="s">
        <v>5071</v>
      </c>
      <c r="C172" s="160" t="s">
        <v>9171</v>
      </c>
      <c r="D172" s="161">
        <v>9781522537779</v>
      </c>
      <c r="E172" s="161">
        <v>9781522537762</v>
      </c>
      <c r="F172" s="160" t="s">
        <v>8538</v>
      </c>
      <c r="G172" s="160">
        <v>1</v>
      </c>
      <c r="H172" s="160" t="s">
        <v>6518</v>
      </c>
      <c r="I172" s="160" t="s">
        <v>8539</v>
      </c>
      <c r="J172" s="160" t="s">
        <v>568</v>
      </c>
      <c r="K172" s="160">
        <v>2018</v>
      </c>
      <c r="L172" s="160" t="s">
        <v>9139</v>
      </c>
      <c r="M172" s="168" t="s">
        <v>8540</v>
      </c>
      <c r="N172" s="162"/>
      <c r="O172" s="162"/>
      <c r="P172" s="162"/>
      <c r="Q172" s="162"/>
      <c r="R172" s="162"/>
      <c r="S172" s="162"/>
    </row>
    <row r="173" spans="1:19" ht="16.350000000000001" customHeight="1">
      <c r="A173" s="167">
        <v>20</v>
      </c>
      <c r="B173" s="160" t="s">
        <v>5071</v>
      </c>
      <c r="C173" s="160" t="s">
        <v>9171</v>
      </c>
      <c r="D173" s="161">
        <v>9781522576396</v>
      </c>
      <c r="E173" s="161">
        <v>9781522576389</v>
      </c>
      <c r="F173" s="160" t="s">
        <v>8552</v>
      </c>
      <c r="G173" s="160">
        <v>1</v>
      </c>
      <c r="H173" s="160" t="s">
        <v>6518</v>
      </c>
      <c r="I173" s="160" t="s">
        <v>5849</v>
      </c>
      <c r="J173" s="160" t="s">
        <v>568</v>
      </c>
      <c r="K173" s="160">
        <v>2019</v>
      </c>
      <c r="L173" s="160" t="s">
        <v>9139</v>
      </c>
      <c r="M173" s="168" t="s">
        <v>8553</v>
      </c>
      <c r="N173" s="162"/>
      <c r="O173" s="162"/>
      <c r="P173" s="162"/>
      <c r="Q173" s="162"/>
      <c r="R173" s="162"/>
      <c r="S173" s="162"/>
    </row>
    <row r="174" spans="1:19" ht="16.350000000000001" customHeight="1">
      <c r="A174" s="167">
        <v>21</v>
      </c>
      <c r="B174" s="160" t="s">
        <v>5071</v>
      </c>
      <c r="C174" s="160" t="s">
        <v>9171</v>
      </c>
      <c r="D174" s="161">
        <v>9781522576761</v>
      </c>
      <c r="E174" s="161">
        <v>9781522576754</v>
      </c>
      <c r="F174" s="160" t="s">
        <v>8554</v>
      </c>
      <c r="G174" s="160">
        <v>1</v>
      </c>
      <c r="H174" s="160" t="s">
        <v>6518</v>
      </c>
      <c r="I174" s="160" t="s">
        <v>5335</v>
      </c>
      <c r="J174" s="160" t="s">
        <v>568</v>
      </c>
      <c r="K174" s="160">
        <v>2019</v>
      </c>
      <c r="L174" s="160" t="s">
        <v>9139</v>
      </c>
      <c r="M174" s="168" t="s">
        <v>8555</v>
      </c>
      <c r="N174" s="162"/>
      <c r="O174" s="162"/>
      <c r="P174" s="162"/>
      <c r="Q174" s="162"/>
      <c r="R174" s="162"/>
      <c r="S174" s="162"/>
    </row>
    <row r="175" spans="1:19" ht="16.350000000000001" customHeight="1">
      <c r="A175" s="167">
        <v>24</v>
      </c>
      <c r="B175" s="160" t="s">
        <v>5071</v>
      </c>
      <c r="C175" s="160" t="s">
        <v>9171</v>
      </c>
      <c r="D175" s="161">
        <v>9781522577164</v>
      </c>
      <c r="E175" s="161">
        <v>9781522577157</v>
      </c>
      <c r="F175" s="160" t="s">
        <v>8562</v>
      </c>
      <c r="G175" s="160">
        <v>1</v>
      </c>
      <c r="H175" s="160" t="s">
        <v>6518</v>
      </c>
      <c r="I175" s="160" t="s">
        <v>8563</v>
      </c>
      <c r="J175" s="160" t="s">
        <v>568</v>
      </c>
      <c r="K175" s="160">
        <v>2019</v>
      </c>
      <c r="L175" s="160" t="s">
        <v>9139</v>
      </c>
      <c r="M175" s="168" t="s">
        <v>8564</v>
      </c>
      <c r="N175" s="162"/>
      <c r="O175" s="162"/>
      <c r="P175" s="162"/>
      <c r="Q175" s="162"/>
      <c r="R175" s="162"/>
      <c r="S175" s="162"/>
    </row>
    <row r="176" spans="1:19" ht="16.350000000000001" customHeight="1">
      <c r="A176" s="167">
        <v>25</v>
      </c>
      <c r="B176" s="160" t="s">
        <v>5071</v>
      </c>
      <c r="C176" s="160" t="s">
        <v>9171</v>
      </c>
      <c r="D176" s="161">
        <v>9781522578000</v>
      </c>
      <c r="E176" s="161">
        <v>9781522577997</v>
      </c>
      <c r="F176" s="160" t="s">
        <v>8565</v>
      </c>
      <c r="G176" s="160">
        <v>1</v>
      </c>
      <c r="H176" s="160" t="s">
        <v>6518</v>
      </c>
      <c r="I176" s="160" t="s">
        <v>8566</v>
      </c>
      <c r="J176" s="160" t="s">
        <v>568</v>
      </c>
      <c r="K176" s="160">
        <v>2019</v>
      </c>
      <c r="L176" s="160" t="s">
        <v>9139</v>
      </c>
      <c r="M176" s="168" t="s">
        <v>8567</v>
      </c>
      <c r="N176" s="162"/>
      <c r="O176" s="162"/>
      <c r="P176" s="162"/>
      <c r="Q176" s="162"/>
      <c r="R176" s="162"/>
      <c r="S176" s="162"/>
    </row>
    <row r="177" spans="1:19" ht="16.350000000000001" customHeight="1">
      <c r="A177" s="167">
        <v>30</v>
      </c>
      <c r="B177" s="160" t="s">
        <v>5071</v>
      </c>
      <c r="C177" s="160" t="s">
        <v>9171</v>
      </c>
      <c r="D177" s="161">
        <v>9781522572664</v>
      </c>
      <c r="E177" s="161">
        <v>9781522572657</v>
      </c>
      <c r="F177" s="160" t="s">
        <v>8580</v>
      </c>
      <c r="G177" s="160">
        <v>1</v>
      </c>
      <c r="H177" s="160" t="s">
        <v>6518</v>
      </c>
      <c r="I177" s="160" t="s">
        <v>5748</v>
      </c>
      <c r="J177" s="160" t="s">
        <v>568</v>
      </c>
      <c r="K177" s="160">
        <v>2019</v>
      </c>
      <c r="L177" s="160" t="s">
        <v>9139</v>
      </c>
      <c r="M177" s="168" t="s">
        <v>8581</v>
      </c>
      <c r="N177" s="162"/>
      <c r="O177" s="162"/>
      <c r="P177" s="162"/>
      <c r="Q177" s="162"/>
      <c r="R177" s="162"/>
      <c r="S177" s="162"/>
    </row>
    <row r="178" spans="1:19" ht="16.350000000000001" customHeight="1">
      <c r="A178" s="167">
        <v>31</v>
      </c>
      <c r="B178" s="160" t="s">
        <v>5071</v>
      </c>
      <c r="C178" s="160" t="s">
        <v>9171</v>
      </c>
      <c r="D178" s="161">
        <v>9781522575801</v>
      </c>
      <c r="E178" s="161">
        <v>9781522575795</v>
      </c>
      <c r="F178" s="160" t="s">
        <v>8582</v>
      </c>
      <c r="G178" s="160">
        <v>1</v>
      </c>
      <c r="H178" s="160" t="s">
        <v>6518</v>
      </c>
      <c r="I178" s="160" t="s">
        <v>8583</v>
      </c>
      <c r="J178" s="160" t="s">
        <v>568</v>
      </c>
      <c r="K178" s="160">
        <v>2019</v>
      </c>
      <c r="L178" s="160" t="s">
        <v>9139</v>
      </c>
      <c r="M178" s="168" t="s">
        <v>8584</v>
      </c>
      <c r="N178" s="162"/>
      <c r="O178" s="162"/>
      <c r="P178" s="162"/>
      <c r="Q178" s="162"/>
      <c r="R178" s="162"/>
      <c r="S178" s="162"/>
    </row>
    <row r="179" spans="1:19" ht="16.350000000000001" customHeight="1">
      <c r="A179" s="167">
        <v>38</v>
      </c>
      <c r="B179" s="160" t="s">
        <v>5071</v>
      </c>
      <c r="C179" s="160" t="s">
        <v>9171</v>
      </c>
      <c r="D179" s="161">
        <v>9781522557791</v>
      </c>
      <c r="E179" s="161">
        <v>9781522557784</v>
      </c>
      <c r="F179" s="160" t="s">
        <v>8601</v>
      </c>
      <c r="G179" s="160">
        <v>1</v>
      </c>
      <c r="H179" s="160" t="s">
        <v>6518</v>
      </c>
      <c r="I179" s="160" t="s">
        <v>8602</v>
      </c>
      <c r="J179" s="160" t="s">
        <v>568</v>
      </c>
      <c r="K179" s="160">
        <v>2019</v>
      </c>
      <c r="L179" s="160" t="s">
        <v>9139</v>
      </c>
      <c r="M179" s="168" t="s">
        <v>8603</v>
      </c>
      <c r="N179" s="162"/>
      <c r="O179" s="162"/>
      <c r="P179" s="162"/>
      <c r="Q179" s="162"/>
      <c r="R179" s="162"/>
      <c r="S179" s="162"/>
    </row>
    <row r="180" spans="1:19" ht="16.350000000000001" customHeight="1">
      <c r="A180" s="167">
        <v>41</v>
      </c>
      <c r="B180" s="160" t="s">
        <v>5071</v>
      </c>
      <c r="C180" s="160" t="s">
        <v>9171</v>
      </c>
      <c r="D180" s="161">
        <v>9781522553670</v>
      </c>
      <c r="E180" s="161">
        <v>9781522553663</v>
      </c>
      <c r="F180" s="160" t="s">
        <v>8608</v>
      </c>
      <c r="G180" s="160">
        <v>1</v>
      </c>
      <c r="H180" s="160" t="s">
        <v>6518</v>
      </c>
      <c r="I180" s="160" t="s">
        <v>41</v>
      </c>
      <c r="J180" s="160" t="s">
        <v>568</v>
      </c>
      <c r="K180" s="160">
        <v>2019</v>
      </c>
      <c r="L180" s="160" t="s">
        <v>9139</v>
      </c>
      <c r="M180" s="168" t="s">
        <v>8609</v>
      </c>
      <c r="N180" s="162"/>
      <c r="O180" s="162"/>
      <c r="P180" s="162"/>
      <c r="Q180" s="162"/>
      <c r="R180" s="162"/>
      <c r="S180" s="162"/>
    </row>
    <row r="181" spans="1:19" ht="16.350000000000001" customHeight="1">
      <c r="A181" s="167">
        <v>42</v>
      </c>
      <c r="B181" s="160" t="s">
        <v>5071</v>
      </c>
      <c r="C181" s="160" t="s">
        <v>9171</v>
      </c>
      <c r="D181" s="161">
        <v>9781522569817</v>
      </c>
      <c r="E181" s="161">
        <v>9781522569800</v>
      </c>
      <c r="F181" s="160" t="s">
        <v>8610</v>
      </c>
      <c r="G181" s="160">
        <v>1</v>
      </c>
      <c r="H181" s="160" t="s">
        <v>6518</v>
      </c>
      <c r="I181" s="160" t="s">
        <v>2596</v>
      </c>
      <c r="J181" s="160" t="s">
        <v>568</v>
      </c>
      <c r="K181" s="160">
        <v>2019</v>
      </c>
      <c r="L181" s="160" t="s">
        <v>9139</v>
      </c>
      <c r="M181" s="168" t="s">
        <v>8611</v>
      </c>
      <c r="N181" s="162"/>
      <c r="O181" s="162"/>
      <c r="P181" s="162"/>
      <c r="Q181" s="162"/>
      <c r="R181" s="162"/>
      <c r="S181" s="162"/>
    </row>
    <row r="182" spans="1:19" ht="16.350000000000001" customHeight="1">
      <c r="A182" s="167">
        <v>43</v>
      </c>
      <c r="B182" s="160" t="s">
        <v>5071</v>
      </c>
      <c r="C182" s="160" t="s">
        <v>9171</v>
      </c>
      <c r="D182" s="161">
        <v>9781522578666</v>
      </c>
      <c r="E182" s="161">
        <v>9781522578659</v>
      </c>
      <c r="F182" s="160" t="s">
        <v>8612</v>
      </c>
      <c r="G182" s="160">
        <v>1</v>
      </c>
      <c r="H182" s="160" t="s">
        <v>6518</v>
      </c>
      <c r="I182" s="160" t="s">
        <v>8613</v>
      </c>
      <c r="J182" s="160" t="s">
        <v>568</v>
      </c>
      <c r="K182" s="160">
        <v>2019</v>
      </c>
      <c r="L182" s="160" t="s">
        <v>9139</v>
      </c>
      <c r="M182" s="168" t="s">
        <v>8614</v>
      </c>
      <c r="N182" s="162"/>
      <c r="O182" s="162"/>
      <c r="P182" s="162"/>
      <c r="Q182" s="162"/>
      <c r="R182" s="162"/>
      <c r="S182" s="162"/>
    </row>
    <row r="183" spans="1:19" ht="16.350000000000001" customHeight="1">
      <c r="A183" s="167">
        <v>48</v>
      </c>
      <c r="B183" s="160" t="s">
        <v>5071</v>
      </c>
      <c r="C183" s="160" t="s">
        <v>9171</v>
      </c>
      <c r="D183" s="161">
        <v>9781522549970</v>
      </c>
      <c r="E183" s="161">
        <v>9781522549963</v>
      </c>
      <c r="F183" s="160" t="s">
        <v>8627</v>
      </c>
      <c r="G183" s="160">
        <v>1</v>
      </c>
      <c r="H183" s="160" t="s">
        <v>6518</v>
      </c>
      <c r="I183" s="160" t="s">
        <v>8628</v>
      </c>
      <c r="J183" s="160" t="s">
        <v>568</v>
      </c>
      <c r="K183" s="160">
        <v>2019</v>
      </c>
      <c r="L183" s="160" t="s">
        <v>9139</v>
      </c>
      <c r="M183" s="168" t="s">
        <v>8629</v>
      </c>
      <c r="N183" s="162"/>
      <c r="O183" s="162"/>
      <c r="P183" s="162"/>
      <c r="Q183" s="162"/>
      <c r="R183" s="162"/>
      <c r="S183" s="162"/>
    </row>
    <row r="184" spans="1:19" ht="16.350000000000001" customHeight="1">
      <c r="A184" s="167">
        <v>54</v>
      </c>
      <c r="B184" s="160" t="s">
        <v>5071</v>
      </c>
      <c r="C184" s="160" t="s">
        <v>9171</v>
      </c>
      <c r="D184" s="161">
        <v>9781522580898</v>
      </c>
      <c r="E184" s="161">
        <v>9781522580881</v>
      </c>
      <c r="F184" s="160" t="s">
        <v>8644</v>
      </c>
      <c r="G184" s="160">
        <v>1</v>
      </c>
      <c r="H184" s="160" t="s">
        <v>6518</v>
      </c>
      <c r="I184" s="160" t="s">
        <v>8645</v>
      </c>
      <c r="J184" s="160" t="s">
        <v>568</v>
      </c>
      <c r="K184" s="160">
        <v>2020</v>
      </c>
      <c r="L184" s="160" t="s">
        <v>9139</v>
      </c>
      <c r="M184" s="168" t="s">
        <v>8646</v>
      </c>
      <c r="N184" s="162"/>
      <c r="O184" s="162"/>
      <c r="P184" s="162"/>
      <c r="Q184" s="162"/>
      <c r="R184" s="162"/>
      <c r="S184" s="162"/>
    </row>
    <row r="185" spans="1:19" ht="16.350000000000001" customHeight="1">
      <c r="A185" s="167">
        <v>61</v>
      </c>
      <c r="B185" s="160" t="s">
        <v>5071</v>
      </c>
      <c r="C185" s="160" t="s">
        <v>9171</v>
      </c>
      <c r="D185" s="161">
        <v>9781522596097</v>
      </c>
      <c r="E185" s="161">
        <v>9781522596073</v>
      </c>
      <c r="F185" s="160" t="s">
        <v>8664</v>
      </c>
      <c r="G185" s="160">
        <v>1</v>
      </c>
      <c r="H185" s="160" t="s">
        <v>6518</v>
      </c>
      <c r="I185" s="160" t="s">
        <v>8665</v>
      </c>
      <c r="J185" s="160" t="s">
        <v>568</v>
      </c>
      <c r="K185" s="160">
        <v>2020</v>
      </c>
      <c r="L185" s="160" t="s">
        <v>9139</v>
      </c>
      <c r="M185" s="168" t="s">
        <v>8666</v>
      </c>
      <c r="N185" s="162"/>
      <c r="O185" s="162"/>
      <c r="P185" s="162"/>
      <c r="Q185" s="162"/>
      <c r="R185" s="162"/>
      <c r="S185" s="162"/>
    </row>
    <row r="186" spans="1:19" ht="16.350000000000001" customHeight="1">
      <c r="A186" s="167">
        <v>73</v>
      </c>
      <c r="B186" s="160" t="s">
        <v>5071</v>
      </c>
      <c r="C186" s="160" t="s">
        <v>9171</v>
      </c>
      <c r="D186" s="161">
        <v>9781799816379</v>
      </c>
      <c r="E186" s="161">
        <v>9781799816355</v>
      </c>
      <c r="F186" s="160" t="s">
        <v>8698</v>
      </c>
      <c r="G186" s="160">
        <v>1</v>
      </c>
      <c r="H186" s="160" t="s">
        <v>6518</v>
      </c>
      <c r="I186" s="160" t="s">
        <v>8699</v>
      </c>
      <c r="J186" s="160" t="s">
        <v>568</v>
      </c>
      <c r="K186" s="160">
        <v>2020</v>
      </c>
      <c r="L186" s="160" t="s">
        <v>9139</v>
      </c>
      <c r="M186" s="168" t="s">
        <v>8700</v>
      </c>
      <c r="N186" s="162"/>
      <c r="O186" s="162"/>
      <c r="P186" s="162"/>
      <c r="Q186" s="162"/>
      <c r="R186" s="162"/>
      <c r="S186" s="162"/>
    </row>
    <row r="187" spans="1:19" ht="16.350000000000001" customHeight="1">
      <c r="A187" s="167">
        <v>77</v>
      </c>
      <c r="B187" s="160" t="s">
        <v>5071</v>
      </c>
      <c r="C187" s="160" t="s">
        <v>9171</v>
      </c>
      <c r="D187" s="161">
        <v>9781522597889</v>
      </c>
      <c r="E187" s="161">
        <v>9781522597872</v>
      </c>
      <c r="F187" s="160" t="s">
        <v>8707</v>
      </c>
      <c r="G187" s="160">
        <v>1</v>
      </c>
      <c r="H187" s="160" t="s">
        <v>6518</v>
      </c>
      <c r="I187" s="160" t="s">
        <v>8708</v>
      </c>
      <c r="J187" s="160" t="s">
        <v>561</v>
      </c>
      <c r="K187" s="160">
        <v>2020</v>
      </c>
      <c r="L187" s="160" t="s">
        <v>9139</v>
      </c>
      <c r="M187" s="168" t="s">
        <v>8709</v>
      </c>
      <c r="N187" s="162"/>
      <c r="O187" s="162"/>
      <c r="P187" s="162"/>
      <c r="Q187" s="162"/>
      <c r="R187" s="162"/>
      <c r="S187" s="162"/>
    </row>
    <row r="188" spans="1:19" ht="16.350000000000001" customHeight="1">
      <c r="A188" s="167">
        <v>78</v>
      </c>
      <c r="B188" s="160" t="s">
        <v>5071</v>
      </c>
      <c r="C188" s="160" t="s">
        <v>9171</v>
      </c>
      <c r="D188" s="161">
        <v>9781799811107</v>
      </c>
      <c r="E188" s="161">
        <v>9781799811084</v>
      </c>
      <c r="F188" s="160" t="s">
        <v>8710</v>
      </c>
      <c r="G188" s="160">
        <v>1</v>
      </c>
      <c r="H188" s="160" t="s">
        <v>6518</v>
      </c>
      <c r="I188" s="160" t="s">
        <v>7984</v>
      </c>
      <c r="J188" s="160" t="s">
        <v>568</v>
      </c>
      <c r="K188" s="160">
        <v>2020</v>
      </c>
      <c r="L188" s="160" t="s">
        <v>9139</v>
      </c>
      <c r="M188" s="168" t="s">
        <v>8711</v>
      </c>
      <c r="N188" s="162"/>
      <c r="O188" s="162"/>
      <c r="P188" s="162"/>
      <c r="Q188" s="162"/>
      <c r="R188" s="162"/>
      <c r="S188" s="162"/>
    </row>
    <row r="189" spans="1:19" ht="16.350000000000001" customHeight="1">
      <c r="A189" s="167">
        <v>81</v>
      </c>
      <c r="B189" s="160" t="s">
        <v>5071</v>
      </c>
      <c r="C189" s="160" t="s">
        <v>9171</v>
      </c>
      <c r="D189" s="161">
        <v>9781799815242</v>
      </c>
      <c r="E189" s="161">
        <v>9781799815228</v>
      </c>
      <c r="F189" s="160" t="s">
        <v>8718</v>
      </c>
      <c r="G189" s="160">
        <v>1</v>
      </c>
      <c r="H189" s="160" t="s">
        <v>6518</v>
      </c>
      <c r="I189" s="160" t="s">
        <v>8719</v>
      </c>
      <c r="J189" s="160" t="s">
        <v>568</v>
      </c>
      <c r="K189" s="160">
        <v>2020</v>
      </c>
      <c r="L189" s="160" t="s">
        <v>9139</v>
      </c>
      <c r="M189" s="168" t="s">
        <v>8720</v>
      </c>
      <c r="N189" s="162"/>
      <c r="O189" s="162"/>
      <c r="P189" s="162"/>
      <c r="Q189" s="162"/>
      <c r="R189" s="162"/>
      <c r="S189" s="162"/>
    </row>
    <row r="190" spans="1:19" ht="16.350000000000001" customHeight="1">
      <c r="A190" s="167">
        <v>88</v>
      </c>
      <c r="B190" s="160" t="s">
        <v>5071</v>
      </c>
      <c r="C190" s="160" t="s">
        <v>9171</v>
      </c>
      <c r="D190" s="161">
        <v>9781799814900</v>
      </c>
      <c r="E190" s="161">
        <v>9781799814740</v>
      </c>
      <c r="F190" s="160" t="s">
        <v>8736</v>
      </c>
      <c r="G190" s="160">
        <v>1</v>
      </c>
      <c r="H190" s="160" t="s">
        <v>6518</v>
      </c>
      <c r="I190" s="160" t="s">
        <v>8737</v>
      </c>
      <c r="J190" s="160" t="s">
        <v>568</v>
      </c>
      <c r="K190" s="160">
        <v>2020</v>
      </c>
      <c r="L190" s="160" t="s">
        <v>9139</v>
      </c>
      <c r="M190" s="168" t="s">
        <v>8738</v>
      </c>
      <c r="N190" s="162"/>
      <c r="O190" s="162"/>
      <c r="P190" s="162"/>
      <c r="Q190" s="162"/>
      <c r="R190" s="162"/>
      <c r="S190" s="162"/>
    </row>
    <row r="191" spans="1:19" ht="16.350000000000001" customHeight="1">
      <c r="A191" s="167">
        <v>93</v>
      </c>
      <c r="B191" s="160" t="s">
        <v>5071</v>
      </c>
      <c r="C191" s="160" t="s">
        <v>9171</v>
      </c>
      <c r="D191" s="161">
        <v>9781799819837</v>
      </c>
      <c r="E191" s="161">
        <v>9781799819813</v>
      </c>
      <c r="F191" s="160" t="s">
        <v>8751</v>
      </c>
      <c r="G191" s="160">
        <v>1</v>
      </c>
      <c r="H191" s="160" t="s">
        <v>6518</v>
      </c>
      <c r="I191" s="160" t="s">
        <v>8752</v>
      </c>
      <c r="J191" s="160" t="s">
        <v>568</v>
      </c>
      <c r="K191" s="160">
        <v>2020</v>
      </c>
      <c r="L191" s="160" t="s">
        <v>9139</v>
      </c>
      <c r="M191" s="168" t="s">
        <v>8753</v>
      </c>
      <c r="N191" s="162"/>
      <c r="O191" s="162"/>
      <c r="P191" s="162"/>
      <c r="Q191" s="162"/>
      <c r="R191" s="162"/>
      <c r="S191" s="162"/>
    </row>
    <row r="192" spans="1:19" ht="16.350000000000001" customHeight="1">
      <c r="A192" s="167">
        <v>98</v>
      </c>
      <c r="B192" s="160" t="s">
        <v>5071</v>
      </c>
      <c r="C192" s="160" t="s">
        <v>9171</v>
      </c>
      <c r="D192" s="161">
        <v>9781799830320</v>
      </c>
      <c r="E192" s="161">
        <v>9781799830306</v>
      </c>
      <c r="F192" s="160" t="s">
        <v>8765</v>
      </c>
      <c r="G192" s="160">
        <v>1</v>
      </c>
      <c r="H192" s="160" t="s">
        <v>6518</v>
      </c>
      <c r="I192" s="160" t="s">
        <v>8766</v>
      </c>
      <c r="J192" s="160" t="s">
        <v>568</v>
      </c>
      <c r="K192" s="160">
        <v>2020</v>
      </c>
      <c r="L192" s="160" t="s">
        <v>9139</v>
      </c>
      <c r="M192" s="168" t="s">
        <v>8767</v>
      </c>
      <c r="N192" s="162"/>
      <c r="O192" s="162"/>
      <c r="P192" s="162"/>
      <c r="Q192" s="162"/>
      <c r="R192" s="162"/>
      <c r="S192" s="162"/>
    </row>
    <row r="193" spans="1:19" ht="16.350000000000001" customHeight="1">
      <c r="A193" s="167">
        <v>102</v>
      </c>
      <c r="B193" s="160" t="s">
        <v>5071</v>
      </c>
      <c r="C193" s="160" t="s">
        <v>9171</v>
      </c>
      <c r="D193" s="161">
        <v>9781799822066</v>
      </c>
      <c r="E193" s="161">
        <v>9781799822042</v>
      </c>
      <c r="F193" s="160" t="s">
        <v>8776</v>
      </c>
      <c r="G193" s="160">
        <v>1</v>
      </c>
      <c r="H193" s="160" t="s">
        <v>6518</v>
      </c>
      <c r="I193" s="160" t="s">
        <v>8777</v>
      </c>
      <c r="J193" s="160" t="s">
        <v>568</v>
      </c>
      <c r="K193" s="160">
        <v>2020</v>
      </c>
      <c r="L193" s="160" t="s">
        <v>9139</v>
      </c>
      <c r="M193" s="168" t="s">
        <v>8778</v>
      </c>
      <c r="N193" s="162"/>
      <c r="O193" s="162"/>
      <c r="P193" s="162"/>
      <c r="Q193" s="162"/>
      <c r="R193" s="162"/>
      <c r="S193" s="162"/>
    </row>
    <row r="194" spans="1:19" ht="16.350000000000001" customHeight="1">
      <c r="A194" s="167">
        <v>105</v>
      </c>
      <c r="B194" s="160" t="s">
        <v>5071</v>
      </c>
      <c r="C194" s="160" t="s">
        <v>9171</v>
      </c>
      <c r="D194" s="161">
        <v>9781799831440</v>
      </c>
      <c r="E194" s="161">
        <v>9781799831426</v>
      </c>
      <c r="F194" s="160" t="s">
        <v>8785</v>
      </c>
      <c r="G194" s="160">
        <v>1</v>
      </c>
      <c r="H194" s="160" t="s">
        <v>6518</v>
      </c>
      <c r="I194" s="160" t="s">
        <v>8786</v>
      </c>
      <c r="J194" s="160" t="s">
        <v>568</v>
      </c>
      <c r="K194" s="160">
        <v>2020</v>
      </c>
      <c r="L194" s="160" t="s">
        <v>9139</v>
      </c>
      <c r="M194" s="168" t="s">
        <v>8787</v>
      </c>
      <c r="N194" s="162"/>
      <c r="O194" s="162"/>
      <c r="P194" s="162"/>
      <c r="Q194" s="162"/>
      <c r="R194" s="162"/>
      <c r="S194" s="162"/>
    </row>
    <row r="195" spans="1:19" ht="16.350000000000001" customHeight="1">
      <c r="A195" s="167">
        <v>124</v>
      </c>
      <c r="B195" s="160" t="s">
        <v>5071</v>
      </c>
      <c r="C195" s="160" t="s">
        <v>9171</v>
      </c>
      <c r="D195" s="161">
        <v>9781799845447</v>
      </c>
      <c r="E195" s="161">
        <v>9781799845430</v>
      </c>
      <c r="F195" s="160" t="s">
        <v>8843</v>
      </c>
      <c r="G195" s="160">
        <v>1</v>
      </c>
      <c r="H195" s="160" t="s">
        <v>6518</v>
      </c>
      <c r="I195" s="160" t="s">
        <v>8844</v>
      </c>
      <c r="J195" s="160" t="s">
        <v>568</v>
      </c>
      <c r="K195" s="160">
        <v>2020</v>
      </c>
      <c r="L195" s="160" t="s">
        <v>9139</v>
      </c>
      <c r="M195" s="168" t="s">
        <v>8845</v>
      </c>
      <c r="N195" s="162"/>
      <c r="O195" s="162"/>
      <c r="P195" s="162"/>
      <c r="Q195" s="162"/>
      <c r="R195" s="162"/>
      <c r="S195" s="162"/>
    </row>
    <row r="196" spans="1:19" ht="16.350000000000001" customHeight="1">
      <c r="A196" s="167">
        <v>125</v>
      </c>
      <c r="B196" s="160" t="s">
        <v>5071</v>
      </c>
      <c r="C196" s="160" t="s">
        <v>9171</v>
      </c>
      <c r="D196" s="161">
        <v>9781799845539</v>
      </c>
      <c r="E196" s="161">
        <v>9781799845522</v>
      </c>
      <c r="F196" s="160" t="s">
        <v>8846</v>
      </c>
      <c r="G196" s="160">
        <v>1</v>
      </c>
      <c r="H196" s="160" t="s">
        <v>6518</v>
      </c>
      <c r="I196" s="160" t="s">
        <v>8847</v>
      </c>
      <c r="J196" s="160" t="s">
        <v>568</v>
      </c>
      <c r="K196" s="160">
        <v>2020</v>
      </c>
      <c r="L196" s="160" t="s">
        <v>9139</v>
      </c>
      <c r="M196" s="168" t="s">
        <v>8848</v>
      </c>
      <c r="N196" s="162"/>
      <c r="O196" s="162"/>
      <c r="P196" s="162"/>
      <c r="Q196" s="162"/>
      <c r="R196" s="162"/>
      <c r="S196" s="162"/>
    </row>
    <row r="197" spans="1:19" ht="16.350000000000001" customHeight="1">
      <c r="A197" s="167">
        <v>130</v>
      </c>
      <c r="B197" s="160" t="s">
        <v>5071</v>
      </c>
      <c r="C197" s="160" t="s">
        <v>9171</v>
      </c>
      <c r="D197" s="161">
        <v>9781799848530</v>
      </c>
      <c r="E197" s="161">
        <v>9781799848523</v>
      </c>
      <c r="F197" s="160" t="s">
        <v>8859</v>
      </c>
      <c r="G197" s="160">
        <v>1</v>
      </c>
      <c r="H197" s="160" t="s">
        <v>6518</v>
      </c>
      <c r="I197" s="160" t="s">
        <v>8860</v>
      </c>
      <c r="J197" s="160" t="s">
        <v>568</v>
      </c>
      <c r="K197" s="160">
        <v>2021</v>
      </c>
      <c r="L197" s="160" t="s">
        <v>9139</v>
      </c>
      <c r="M197" s="168" t="s">
        <v>8861</v>
      </c>
      <c r="N197" s="162"/>
      <c r="O197" s="162"/>
      <c r="P197" s="162"/>
      <c r="Q197" s="162"/>
      <c r="R197" s="162"/>
      <c r="S197" s="162"/>
    </row>
    <row r="198" spans="1:19" ht="16.350000000000001" customHeight="1">
      <c r="A198" s="167">
        <v>131</v>
      </c>
      <c r="B198" s="160" t="s">
        <v>5071</v>
      </c>
      <c r="C198" s="160" t="s">
        <v>9171</v>
      </c>
      <c r="D198" s="161">
        <v>9781799848622</v>
      </c>
      <c r="E198" s="161">
        <v>9781799848615</v>
      </c>
      <c r="F198" s="160" t="s">
        <v>8862</v>
      </c>
      <c r="G198" s="160">
        <v>1</v>
      </c>
      <c r="H198" s="160" t="s">
        <v>6518</v>
      </c>
      <c r="I198" s="160" t="s">
        <v>8863</v>
      </c>
      <c r="J198" s="160" t="s">
        <v>568</v>
      </c>
      <c r="K198" s="160">
        <v>2021</v>
      </c>
      <c r="L198" s="160" t="s">
        <v>9139</v>
      </c>
      <c r="M198" s="168" t="s">
        <v>8864</v>
      </c>
      <c r="N198" s="162"/>
      <c r="O198" s="162"/>
      <c r="P198" s="162"/>
      <c r="Q198" s="162"/>
      <c r="R198" s="162"/>
      <c r="S198" s="162"/>
    </row>
    <row r="199" spans="1:19" ht="16.350000000000001" customHeight="1">
      <c r="A199" s="167">
        <v>132</v>
      </c>
      <c r="B199" s="160" t="s">
        <v>5071</v>
      </c>
      <c r="C199" s="160" t="s">
        <v>9171</v>
      </c>
      <c r="D199" s="161">
        <v>9781799850786</v>
      </c>
      <c r="E199" s="161">
        <v>9781799850779</v>
      </c>
      <c r="F199" s="160" t="s">
        <v>8865</v>
      </c>
      <c r="G199" s="160">
        <v>1</v>
      </c>
      <c r="H199" s="160" t="s">
        <v>6518</v>
      </c>
      <c r="I199" s="160" t="s">
        <v>161</v>
      </c>
      <c r="J199" s="160" t="s">
        <v>568</v>
      </c>
      <c r="K199" s="160">
        <v>2021</v>
      </c>
      <c r="L199" s="160" t="s">
        <v>9139</v>
      </c>
      <c r="M199" s="168" t="s">
        <v>8866</v>
      </c>
      <c r="N199" s="162"/>
      <c r="O199" s="162"/>
      <c r="P199" s="162"/>
      <c r="Q199" s="162"/>
      <c r="R199" s="162"/>
      <c r="S199" s="162"/>
    </row>
    <row r="200" spans="1:19" ht="16.350000000000001" customHeight="1">
      <c r="A200" s="167">
        <v>5</v>
      </c>
      <c r="B200" s="160" t="s">
        <v>5071</v>
      </c>
      <c r="C200" s="160" t="s">
        <v>9181</v>
      </c>
      <c r="D200" s="161">
        <v>9781466665484</v>
      </c>
      <c r="E200" s="161">
        <v>9781466665477</v>
      </c>
      <c r="F200" s="160" t="s">
        <v>8511</v>
      </c>
      <c r="G200" s="160">
        <v>1</v>
      </c>
      <c r="H200" s="160" t="s">
        <v>6518</v>
      </c>
      <c r="I200" s="160" t="s">
        <v>1830</v>
      </c>
      <c r="J200" s="160" t="s">
        <v>568</v>
      </c>
      <c r="K200" s="160">
        <v>2015</v>
      </c>
      <c r="L200" s="160" t="s">
        <v>9139</v>
      </c>
      <c r="M200" s="168" t="s">
        <v>8512</v>
      </c>
      <c r="N200" s="162"/>
      <c r="O200" s="162"/>
      <c r="P200" s="162"/>
      <c r="Q200" s="162"/>
      <c r="R200" s="162"/>
      <c r="S200" s="162"/>
    </row>
    <row r="201" spans="1:19" ht="16.350000000000001" customHeight="1">
      <c r="A201" s="167">
        <v>44</v>
      </c>
      <c r="B201" s="160" t="s">
        <v>5071</v>
      </c>
      <c r="C201" s="160" t="s">
        <v>9181</v>
      </c>
      <c r="D201" s="161">
        <v>9781522574002</v>
      </c>
      <c r="E201" s="161">
        <v>9781522573999</v>
      </c>
      <c r="F201" s="160" t="s">
        <v>8615</v>
      </c>
      <c r="G201" s="160">
        <v>1</v>
      </c>
      <c r="H201" s="160" t="s">
        <v>6518</v>
      </c>
      <c r="I201" s="160" t="s">
        <v>8616</v>
      </c>
      <c r="J201" s="160" t="s">
        <v>568</v>
      </c>
      <c r="K201" s="160">
        <v>2019</v>
      </c>
      <c r="L201" s="160" t="s">
        <v>9139</v>
      </c>
      <c r="M201" s="168" t="s">
        <v>8617</v>
      </c>
      <c r="N201" s="162"/>
      <c r="O201" s="162"/>
      <c r="P201" s="162"/>
      <c r="Q201" s="162"/>
      <c r="R201" s="162"/>
      <c r="S201" s="162"/>
    </row>
    <row r="202" spans="1:19" ht="16.350000000000001" customHeight="1">
      <c r="A202" s="167">
        <v>49</v>
      </c>
      <c r="B202" s="160" t="s">
        <v>5071</v>
      </c>
      <c r="C202" s="160" t="s">
        <v>9181</v>
      </c>
      <c r="D202" s="161">
        <v>9781522591023</v>
      </c>
      <c r="E202" s="161">
        <v>9781522591009</v>
      </c>
      <c r="F202" s="160" t="s">
        <v>8630</v>
      </c>
      <c r="G202" s="160">
        <v>1</v>
      </c>
      <c r="H202" s="160" t="s">
        <v>6518</v>
      </c>
      <c r="I202" s="160" t="s">
        <v>8631</v>
      </c>
      <c r="J202" s="160" t="s">
        <v>568</v>
      </c>
      <c r="K202" s="160">
        <v>2019</v>
      </c>
      <c r="L202" s="160" t="s">
        <v>9139</v>
      </c>
      <c r="M202" s="168" t="s">
        <v>8632</v>
      </c>
      <c r="N202" s="162"/>
      <c r="O202" s="162"/>
      <c r="P202" s="162"/>
      <c r="Q202" s="162"/>
      <c r="R202" s="162"/>
      <c r="S202" s="162"/>
    </row>
    <row r="203" spans="1:19" ht="16.350000000000001" customHeight="1">
      <c r="A203" s="167">
        <v>52</v>
      </c>
      <c r="B203" s="160" t="s">
        <v>5071</v>
      </c>
      <c r="C203" s="160" t="s">
        <v>9181</v>
      </c>
      <c r="D203" s="161">
        <v>9781522590804</v>
      </c>
      <c r="E203" s="161">
        <v>9781522590781</v>
      </c>
      <c r="F203" s="160" t="s">
        <v>8639</v>
      </c>
      <c r="G203" s="160">
        <v>1</v>
      </c>
      <c r="H203" s="160" t="s">
        <v>6518</v>
      </c>
      <c r="I203" s="160" t="s">
        <v>8640</v>
      </c>
      <c r="J203" s="160" t="s">
        <v>568</v>
      </c>
      <c r="K203" s="160">
        <v>2019</v>
      </c>
      <c r="L203" s="160" t="s">
        <v>9139</v>
      </c>
      <c r="M203" s="168" t="s">
        <v>8641</v>
      </c>
      <c r="N203" s="162"/>
      <c r="O203" s="162"/>
      <c r="P203" s="162"/>
      <c r="Q203" s="162"/>
      <c r="R203" s="162"/>
      <c r="S203" s="162"/>
    </row>
    <row r="204" spans="1:19" ht="16.350000000000001" customHeight="1">
      <c r="A204" s="167">
        <v>59</v>
      </c>
      <c r="B204" s="160" t="s">
        <v>5071</v>
      </c>
      <c r="C204" s="160" t="s">
        <v>9181</v>
      </c>
      <c r="D204" s="161">
        <v>9781522596998</v>
      </c>
      <c r="E204" s="161">
        <v>9781522596974</v>
      </c>
      <c r="F204" s="160" t="s">
        <v>8658</v>
      </c>
      <c r="G204" s="160">
        <v>1</v>
      </c>
      <c r="H204" s="160" t="s">
        <v>6518</v>
      </c>
      <c r="I204" s="160" t="s">
        <v>8659</v>
      </c>
      <c r="J204" s="160" t="s">
        <v>568</v>
      </c>
      <c r="K204" s="160">
        <v>2020</v>
      </c>
      <c r="L204" s="160" t="s">
        <v>9139</v>
      </c>
      <c r="M204" s="168" t="s">
        <v>8660</v>
      </c>
      <c r="N204" s="162"/>
      <c r="O204" s="162"/>
      <c r="P204" s="162"/>
      <c r="Q204" s="162"/>
      <c r="R204" s="162"/>
      <c r="S204" s="162"/>
    </row>
    <row r="205" spans="1:19" ht="16.350000000000001" customHeight="1">
      <c r="A205" s="167">
        <v>62</v>
      </c>
      <c r="B205" s="160" t="s">
        <v>5071</v>
      </c>
      <c r="C205" s="160" t="s">
        <v>9181</v>
      </c>
      <c r="D205" s="161">
        <v>9781522597858</v>
      </c>
      <c r="E205" s="161">
        <v>9781522597834</v>
      </c>
      <c r="F205" s="160" t="s">
        <v>8667</v>
      </c>
      <c r="G205" s="160">
        <v>1</v>
      </c>
      <c r="H205" s="160" t="s">
        <v>6518</v>
      </c>
      <c r="I205" s="160" t="s">
        <v>8668</v>
      </c>
      <c r="J205" s="160" t="s">
        <v>568</v>
      </c>
      <c r="K205" s="160">
        <v>2020</v>
      </c>
      <c r="L205" s="160" t="s">
        <v>9139</v>
      </c>
      <c r="M205" s="168" t="s">
        <v>8669</v>
      </c>
      <c r="N205" s="162"/>
      <c r="O205" s="162"/>
      <c r="P205" s="162"/>
      <c r="Q205" s="162"/>
      <c r="R205" s="162"/>
      <c r="S205" s="162"/>
    </row>
    <row r="206" spans="1:19" ht="16.350000000000001" customHeight="1">
      <c r="A206" s="167">
        <v>66</v>
      </c>
      <c r="B206" s="160" t="s">
        <v>5071</v>
      </c>
      <c r="C206" s="160" t="s">
        <v>9181</v>
      </c>
      <c r="D206" s="161">
        <v>9781799802594</v>
      </c>
      <c r="E206" s="161">
        <v>9781799802570</v>
      </c>
      <c r="F206" s="160" t="s">
        <v>8678</v>
      </c>
      <c r="G206" s="160">
        <v>1</v>
      </c>
      <c r="H206" s="160" t="s">
        <v>6518</v>
      </c>
      <c r="I206" s="160" t="s">
        <v>8679</v>
      </c>
      <c r="J206" s="160" t="s">
        <v>568</v>
      </c>
      <c r="K206" s="160">
        <v>2020</v>
      </c>
      <c r="L206" s="160" t="s">
        <v>9139</v>
      </c>
      <c r="M206" s="168" t="s">
        <v>8680</v>
      </c>
      <c r="N206" s="162"/>
      <c r="O206" s="162"/>
      <c r="P206" s="162"/>
      <c r="Q206" s="162"/>
      <c r="R206" s="162"/>
      <c r="S206" s="162"/>
    </row>
    <row r="207" spans="1:19" ht="16.350000000000001" customHeight="1">
      <c r="A207" s="167">
        <v>71</v>
      </c>
      <c r="B207" s="160" t="s">
        <v>5071</v>
      </c>
      <c r="C207" s="160" t="s">
        <v>9181</v>
      </c>
      <c r="D207" s="161">
        <v>9781799809593</v>
      </c>
      <c r="E207" s="161">
        <v>9781799809579</v>
      </c>
      <c r="F207" s="160" t="s">
        <v>8692</v>
      </c>
      <c r="G207" s="160">
        <v>1</v>
      </c>
      <c r="H207" s="160" t="s">
        <v>6518</v>
      </c>
      <c r="I207" s="160" t="s">
        <v>8693</v>
      </c>
      <c r="J207" s="160" t="s">
        <v>568</v>
      </c>
      <c r="K207" s="160">
        <v>2020</v>
      </c>
      <c r="L207" s="160" t="s">
        <v>9139</v>
      </c>
      <c r="M207" s="168" t="s">
        <v>8694</v>
      </c>
      <c r="N207" s="162"/>
      <c r="O207" s="162"/>
      <c r="P207" s="162"/>
      <c r="Q207" s="162"/>
      <c r="R207" s="162"/>
      <c r="S207" s="162"/>
    </row>
    <row r="208" spans="1:19" ht="16.350000000000001" customHeight="1">
      <c r="A208" s="167">
        <v>92</v>
      </c>
      <c r="B208" s="160" t="s">
        <v>5071</v>
      </c>
      <c r="C208" s="160" t="s">
        <v>9181</v>
      </c>
      <c r="D208" s="161">
        <v>9781799819486</v>
      </c>
      <c r="E208" s="161">
        <v>9781799819479</v>
      </c>
      <c r="F208" s="160" t="s">
        <v>8748</v>
      </c>
      <c r="G208" s="160">
        <v>1</v>
      </c>
      <c r="H208" s="160" t="s">
        <v>6518</v>
      </c>
      <c r="I208" s="160" t="s">
        <v>8749</v>
      </c>
      <c r="J208" s="160" t="s">
        <v>568</v>
      </c>
      <c r="K208" s="160">
        <v>2020</v>
      </c>
      <c r="L208" s="160" t="s">
        <v>9139</v>
      </c>
      <c r="M208" s="168" t="s">
        <v>8750</v>
      </c>
      <c r="N208" s="162"/>
      <c r="O208" s="162"/>
      <c r="P208" s="162"/>
      <c r="Q208" s="162"/>
      <c r="R208" s="162"/>
      <c r="S208" s="162"/>
    </row>
    <row r="209" spans="1:19" ht="16.350000000000001" customHeight="1">
      <c r="A209" s="167">
        <v>96</v>
      </c>
      <c r="B209" s="160" t="s">
        <v>5071</v>
      </c>
      <c r="C209" s="160" t="s">
        <v>9181</v>
      </c>
      <c r="D209" s="161">
        <v>9781799819905</v>
      </c>
      <c r="E209" s="161">
        <v>9781799819899</v>
      </c>
      <c r="F209" s="160" t="s">
        <v>8760</v>
      </c>
      <c r="G209" s="160">
        <v>1</v>
      </c>
      <c r="H209" s="160" t="s">
        <v>6518</v>
      </c>
      <c r="I209" s="160" t="s">
        <v>8761</v>
      </c>
      <c r="J209" s="160" t="s">
        <v>568</v>
      </c>
      <c r="K209" s="160">
        <v>2020</v>
      </c>
      <c r="L209" s="160" t="s">
        <v>9139</v>
      </c>
      <c r="M209" s="168" t="s">
        <v>8762</v>
      </c>
      <c r="N209" s="162"/>
      <c r="O209" s="162"/>
      <c r="P209" s="162"/>
      <c r="Q209" s="162"/>
      <c r="R209" s="162"/>
      <c r="S209" s="162"/>
    </row>
    <row r="210" spans="1:19" ht="16.350000000000001" customHeight="1">
      <c r="A210" s="167">
        <v>104</v>
      </c>
      <c r="B210" s="160" t="s">
        <v>5071</v>
      </c>
      <c r="C210" s="160" t="s">
        <v>9181</v>
      </c>
      <c r="D210" s="161">
        <v>9781799829652</v>
      </c>
      <c r="E210" s="161">
        <v>9781799829638</v>
      </c>
      <c r="F210" s="160" t="s">
        <v>8782</v>
      </c>
      <c r="G210" s="160">
        <v>1</v>
      </c>
      <c r="H210" s="160" t="s">
        <v>6518</v>
      </c>
      <c r="I210" s="160" t="s">
        <v>8783</v>
      </c>
      <c r="J210" s="160" t="s">
        <v>568</v>
      </c>
      <c r="K210" s="160">
        <v>2020</v>
      </c>
      <c r="L210" s="160" t="s">
        <v>9139</v>
      </c>
      <c r="M210" s="168" t="s">
        <v>8784</v>
      </c>
      <c r="N210" s="162"/>
      <c r="O210" s="162"/>
      <c r="P210" s="162"/>
      <c r="Q210" s="162"/>
      <c r="R210" s="162"/>
      <c r="S210" s="162"/>
    </row>
    <row r="211" spans="1:19" ht="16.350000000000001" customHeight="1">
      <c r="A211" s="167">
        <v>113</v>
      </c>
      <c r="B211" s="160" t="s">
        <v>5071</v>
      </c>
      <c r="C211" s="160" t="s">
        <v>9181</v>
      </c>
      <c r="D211" s="161">
        <v>9781799822264</v>
      </c>
      <c r="E211" s="161">
        <v>9781799822240</v>
      </c>
      <c r="F211" s="160" t="s">
        <v>8809</v>
      </c>
      <c r="G211" s="160">
        <v>1</v>
      </c>
      <c r="H211" s="160" t="s">
        <v>6518</v>
      </c>
      <c r="I211" s="160" t="s">
        <v>8810</v>
      </c>
      <c r="J211" s="160" t="s">
        <v>8811</v>
      </c>
      <c r="K211" s="160">
        <v>2020</v>
      </c>
      <c r="L211" s="160" t="s">
        <v>9139</v>
      </c>
      <c r="M211" s="168" t="s">
        <v>8812</v>
      </c>
      <c r="N211" s="162"/>
      <c r="O211" s="162"/>
      <c r="P211" s="162"/>
      <c r="Q211" s="162"/>
      <c r="R211" s="162"/>
      <c r="S211" s="162"/>
    </row>
    <row r="212" spans="1:19" ht="16.350000000000001" customHeight="1">
      <c r="A212" s="167">
        <v>117</v>
      </c>
      <c r="B212" s="160" t="s">
        <v>5071</v>
      </c>
      <c r="C212" s="160" t="s">
        <v>9181</v>
      </c>
      <c r="D212" s="161">
        <v>9781799831570</v>
      </c>
      <c r="E212" s="161">
        <v>9781799831563</v>
      </c>
      <c r="F212" s="160" t="s">
        <v>8822</v>
      </c>
      <c r="G212" s="160">
        <v>1</v>
      </c>
      <c r="H212" s="160" t="s">
        <v>6518</v>
      </c>
      <c r="I212" s="160" t="s">
        <v>8823</v>
      </c>
      <c r="J212" s="160" t="s">
        <v>568</v>
      </c>
      <c r="K212" s="160">
        <v>2020</v>
      </c>
      <c r="L212" s="160" t="s">
        <v>9139</v>
      </c>
      <c r="M212" s="168" t="s">
        <v>8824</v>
      </c>
      <c r="N212" s="162"/>
      <c r="O212" s="162"/>
      <c r="P212" s="162"/>
      <c r="Q212" s="162"/>
      <c r="R212" s="162"/>
      <c r="S212" s="162"/>
    </row>
    <row r="213" spans="1:19" ht="16.350000000000001" customHeight="1">
      <c r="A213" s="167">
        <v>120</v>
      </c>
      <c r="B213" s="160" t="s">
        <v>5071</v>
      </c>
      <c r="C213" s="160" t="s">
        <v>9181</v>
      </c>
      <c r="D213" s="161">
        <v>9781799838067</v>
      </c>
      <c r="E213" s="161">
        <v>9781799838050</v>
      </c>
      <c r="F213" s="160" t="s">
        <v>8831</v>
      </c>
      <c r="G213" s="160">
        <v>1</v>
      </c>
      <c r="H213" s="160" t="s">
        <v>6518</v>
      </c>
      <c r="I213" s="160" t="s">
        <v>8832</v>
      </c>
      <c r="J213" s="160" t="s">
        <v>568</v>
      </c>
      <c r="K213" s="160">
        <v>2021</v>
      </c>
      <c r="L213" s="160" t="s">
        <v>9139</v>
      </c>
      <c r="M213" s="168" t="s">
        <v>8833</v>
      </c>
      <c r="N213" s="162"/>
      <c r="O213" s="162"/>
      <c r="P213" s="162"/>
      <c r="Q213" s="162"/>
      <c r="R213" s="162"/>
      <c r="S213" s="162"/>
    </row>
    <row r="214" spans="1:19" ht="16.350000000000001" customHeight="1">
      <c r="A214" s="167">
        <v>121</v>
      </c>
      <c r="B214" s="160" t="s">
        <v>5071</v>
      </c>
      <c r="C214" s="160" t="s">
        <v>9181</v>
      </c>
      <c r="D214" s="161">
        <v>9781799843313</v>
      </c>
      <c r="E214" s="161">
        <v>9781799843306</v>
      </c>
      <c r="F214" s="160" t="s">
        <v>8834</v>
      </c>
      <c r="G214" s="160">
        <v>1</v>
      </c>
      <c r="H214" s="160" t="s">
        <v>6518</v>
      </c>
      <c r="I214" s="160" t="s">
        <v>8835</v>
      </c>
      <c r="J214" s="160" t="s">
        <v>568</v>
      </c>
      <c r="K214" s="160">
        <v>2020</v>
      </c>
      <c r="L214" s="160" t="s">
        <v>9139</v>
      </c>
      <c r="M214" s="168" t="s">
        <v>8836</v>
      </c>
      <c r="N214" s="162"/>
      <c r="O214" s="162"/>
      <c r="P214" s="162"/>
      <c r="Q214" s="162"/>
      <c r="R214" s="162"/>
      <c r="S214" s="162"/>
    </row>
    <row r="215" spans="1:19" ht="16.350000000000001" customHeight="1">
      <c r="A215" s="167">
        <v>129</v>
      </c>
      <c r="B215" s="160" t="s">
        <v>5071</v>
      </c>
      <c r="C215" s="160" t="s">
        <v>9181</v>
      </c>
      <c r="D215" s="161">
        <v>9781799847885</v>
      </c>
      <c r="E215" s="161">
        <v>9781799847878</v>
      </c>
      <c r="F215" s="160" t="s">
        <v>8857</v>
      </c>
      <c r="G215" s="160">
        <v>1</v>
      </c>
      <c r="H215" s="160" t="s">
        <v>6518</v>
      </c>
      <c r="I215" s="160" t="s">
        <v>943</v>
      </c>
      <c r="J215" s="160" t="s">
        <v>568</v>
      </c>
      <c r="K215" s="160">
        <v>2021</v>
      </c>
      <c r="L215" s="160" t="s">
        <v>9139</v>
      </c>
      <c r="M215" s="168" t="s">
        <v>8858</v>
      </c>
      <c r="N215" s="162"/>
      <c r="O215" s="162"/>
      <c r="P215" s="162"/>
      <c r="Q215" s="162"/>
      <c r="R215" s="162"/>
      <c r="S215" s="162"/>
    </row>
    <row r="216" spans="1:19" ht="16.350000000000001" customHeight="1">
      <c r="A216" s="167">
        <v>4</v>
      </c>
      <c r="B216" s="160" t="s">
        <v>5071</v>
      </c>
      <c r="C216" s="160" t="s">
        <v>9172</v>
      </c>
      <c r="D216" s="161">
        <v>9781466665446</v>
      </c>
      <c r="E216" s="161">
        <v>9781466665439</v>
      </c>
      <c r="F216" s="160" t="s">
        <v>8509</v>
      </c>
      <c r="G216" s="160">
        <v>1</v>
      </c>
      <c r="H216" s="160" t="s">
        <v>6518</v>
      </c>
      <c r="I216" s="160" t="s">
        <v>3446</v>
      </c>
      <c r="J216" s="160" t="s">
        <v>568</v>
      </c>
      <c r="K216" s="160">
        <v>2015</v>
      </c>
      <c r="L216" s="160" t="s">
        <v>9139</v>
      </c>
      <c r="M216" s="168" t="s">
        <v>8510</v>
      </c>
      <c r="N216" s="162"/>
      <c r="O216" s="162"/>
      <c r="P216" s="162"/>
      <c r="Q216" s="162"/>
      <c r="R216" s="162"/>
      <c r="S216" s="162"/>
    </row>
    <row r="217" spans="1:19" ht="16.350000000000001" customHeight="1">
      <c r="A217" s="167">
        <v>32</v>
      </c>
      <c r="B217" s="160" t="s">
        <v>5071</v>
      </c>
      <c r="C217" s="160" t="s">
        <v>9172</v>
      </c>
      <c r="D217" s="161">
        <v>9781522575054</v>
      </c>
      <c r="E217" s="161">
        <v>9781522575047</v>
      </c>
      <c r="F217" s="160" t="s">
        <v>8585</v>
      </c>
      <c r="G217" s="160">
        <v>1</v>
      </c>
      <c r="H217" s="160" t="s">
        <v>6518</v>
      </c>
      <c r="I217" s="160" t="s">
        <v>3446</v>
      </c>
      <c r="J217" s="160" t="s">
        <v>568</v>
      </c>
      <c r="K217" s="160">
        <v>2019</v>
      </c>
      <c r="L217" s="160" t="s">
        <v>9139</v>
      </c>
      <c r="M217" s="168" t="s">
        <v>8586</v>
      </c>
      <c r="N217" s="162"/>
      <c r="O217" s="162"/>
      <c r="P217" s="162"/>
      <c r="Q217" s="162"/>
      <c r="R217" s="162"/>
      <c r="S217" s="162"/>
    </row>
    <row r="218" spans="1:19" ht="16.350000000000001" customHeight="1">
      <c r="A218" s="167">
        <v>36</v>
      </c>
      <c r="B218" s="160" t="s">
        <v>5071</v>
      </c>
      <c r="C218" s="160" t="s">
        <v>9172</v>
      </c>
      <c r="D218" s="161">
        <v>9781522562849</v>
      </c>
      <c r="E218" s="161">
        <v>9781522562832</v>
      </c>
      <c r="F218" s="160" t="s">
        <v>8596</v>
      </c>
      <c r="G218" s="160">
        <v>1</v>
      </c>
      <c r="H218" s="160" t="s">
        <v>6518</v>
      </c>
      <c r="I218" s="160" t="s">
        <v>8597</v>
      </c>
      <c r="J218" s="160" t="s">
        <v>568</v>
      </c>
      <c r="K218" s="160">
        <v>2019</v>
      </c>
      <c r="L218" s="160" t="s">
        <v>9139</v>
      </c>
      <c r="M218" s="168" t="s">
        <v>8598</v>
      </c>
      <c r="N218" s="162"/>
      <c r="O218" s="162"/>
      <c r="P218" s="162"/>
      <c r="Q218" s="162"/>
      <c r="R218" s="162"/>
      <c r="S218" s="162"/>
    </row>
    <row r="219" spans="1:19" ht="16.350000000000001" customHeight="1">
      <c r="A219" s="167">
        <v>85</v>
      </c>
      <c r="B219" s="160" t="s">
        <v>5071</v>
      </c>
      <c r="C219" s="160" t="s">
        <v>9172</v>
      </c>
      <c r="D219" s="161">
        <v>9781799814252</v>
      </c>
      <c r="E219" s="161">
        <v>9781799814238</v>
      </c>
      <c r="F219" s="160" t="s">
        <v>8728</v>
      </c>
      <c r="G219" s="160">
        <v>1</v>
      </c>
      <c r="H219" s="160" t="s">
        <v>6518</v>
      </c>
      <c r="I219" s="160" t="s">
        <v>8729</v>
      </c>
      <c r="J219" s="160" t="s">
        <v>568</v>
      </c>
      <c r="K219" s="160">
        <v>2020</v>
      </c>
      <c r="L219" s="160" t="s">
        <v>9139</v>
      </c>
      <c r="M219" s="168" t="s">
        <v>8730</v>
      </c>
      <c r="N219" s="162"/>
      <c r="O219" s="162"/>
      <c r="P219" s="162"/>
      <c r="Q219" s="162"/>
      <c r="R219" s="162"/>
      <c r="S219" s="162"/>
    </row>
    <row r="220" spans="1:19" ht="16.350000000000001" customHeight="1">
      <c r="A220" s="167">
        <v>94</v>
      </c>
      <c r="B220" s="160" t="s">
        <v>5071</v>
      </c>
      <c r="C220" s="160" t="s">
        <v>9172</v>
      </c>
      <c r="D220" s="161">
        <v>9781799813040</v>
      </c>
      <c r="E220" s="161">
        <v>9781799813026</v>
      </c>
      <c r="F220" s="160" t="s">
        <v>8754</v>
      </c>
      <c r="G220" s="160">
        <v>1</v>
      </c>
      <c r="H220" s="160" t="s">
        <v>6518</v>
      </c>
      <c r="I220" s="160" t="s">
        <v>8755</v>
      </c>
      <c r="J220" s="160" t="s">
        <v>568</v>
      </c>
      <c r="K220" s="160">
        <v>2020</v>
      </c>
      <c r="L220" s="160" t="s">
        <v>9139</v>
      </c>
      <c r="M220" s="168" t="s">
        <v>8756</v>
      </c>
      <c r="N220" s="162"/>
      <c r="O220" s="162"/>
      <c r="P220" s="162"/>
      <c r="Q220" s="162"/>
      <c r="R220" s="162"/>
      <c r="S220" s="162"/>
    </row>
    <row r="221" spans="1:19" ht="16.350000000000001" customHeight="1">
      <c r="A221" s="167">
        <v>101</v>
      </c>
      <c r="B221" s="160" t="s">
        <v>5071</v>
      </c>
      <c r="C221" s="160" t="s">
        <v>9172</v>
      </c>
      <c r="D221" s="161">
        <v>9781799826057</v>
      </c>
      <c r="E221" s="161">
        <v>9781799826033</v>
      </c>
      <c r="F221" s="160" t="s">
        <v>8774</v>
      </c>
      <c r="G221" s="160">
        <v>1</v>
      </c>
      <c r="H221" s="160" t="s">
        <v>6518</v>
      </c>
      <c r="I221" s="160" t="s">
        <v>7860</v>
      </c>
      <c r="J221" s="160" t="s">
        <v>568</v>
      </c>
      <c r="K221" s="160">
        <v>2020</v>
      </c>
      <c r="L221" s="160" t="s">
        <v>9139</v>
      </c>
      <c r="M221" s="168" t="s">
        <v>8775</v>
      </c>
      <c r="N221" s="162"/>
      <c r="O221" s="162"/>
      <c r="P221" s="162"/>
      <c r="Q221" s="162"/>
      <c r="R221" s="162"/>
      <c r="S221" s="162"/>
    </row>
    <row r="222" spans="1:19" ht="16.350000000000001" customHeight="1">
      <c r="A222" s="167">
        <v>119</v>
      </c>
      <c r="B222" s="160" t="s">
        <v>5071</v>
      </c>
      <c r="C222" s="160" t="s">
        <v>9172</v>
      </c>
      <c r="D222" s="161">
        <v>9781799837275</v>
      </c>
      <c r="E222" s="161">
        <v>9781799837251</v>
      </c>
      <c r="F222" s="160" t="s">
        <v>8828</v>
      </c>
      <c r="G222" s="160">
        <v>1</v>
      </c>
      <c r="H222" s="160" t="s">
        <v>6518</v>
      </c>
      <c r="I222" s="160" t="s">
        <v>8829</v>
      </c>
      <c r="J222" s="160" t="s">
        <v>568</v>
      </c>
      <c r="K222" s="160">
        <v>2020</v>
      </c>
      <c r="L222" s="160" t="s">
        <v>9139</v>
      </c>
      <c r="M222" s="168" t="s">
        <v>8830</v>
      </c>
      <c r="N222" s="162"/>
      <c r="O222" s="162"/>
      <c r="P222" s="162"/>
      <c r="Q222" s="162"/>
      <c r="R222" s="162"/>
      <c r="S222" s="162"/>
    </row>
    <row r="223" spans="1:19" ht="16.350000000000001" customHeight="1">
      <c r="A223" s="167">
        <v>10</v>
      </c>
      <c r="B223" s="160" t="s">
        <v>5071</v>
      </c>
      <c r="C223" s="160" t="s">
        <v>9173</v>
      </c>
      <c r="D223" s="161">
        <v>9781522520627</v>
      </c>
      <c r="E223" s="161">
        <v>9781522520610</v>
      </c>
      <c r="F223" s="160" t="s">
        <v>8524</v>
      </c>
      <c r="G223" s="160">
        <v>1</v>
      </c>
      <c r="H223" s="160" t="s">
        <v>6518</v>
      </c>
      <c r="I223" s="160" t="s">
        <v>8525</v>
      </c>
      <c r="J223" s="160" t="s">
        <v>569</v>
      </c>
      <c r="K223" s="160">
        <v>2017</v>
      </c>
      <c r="L223" s="160" t="s">
        <v>9139</v>
      </c>
      <c r="M223" s="168" t="s">
        <v>8526</v>
      </c>
      <c r="N223" s="162"/>
      <c r="O223" s="162"/>
      <c r="P223" s="162"/>
      <c r="Q223" s="162"/>
      <c r="R223" s="162"/>
      <c r="S223" s="162"/>
    </row>
    <row r="224" spans="1:19" ht="16.350000000000001" customHeight="1">
      <c r="A224" s="167">
        <v>72</v>
      </c>
      <c r="B224" s="160" t="s">
        <v>5071</v>
      </c>
      <c r="C224" s="160" t="s">
        <v>9173</v>
      </c>
      <c r="D224" s="161">
        <v>9781799811336</v>
      </c>
      <c r="E224" s="161">
        <v>9781799811312</v>
      </c>
      <c r="F224" s="160" t="s">
        <v>8695</v>
      </c>
      <c r="G224" s="160">
        <v>1</v>
      </c>
      <c r="H224" s="160" t="s">
        <v>6518</v>
      </c>
      <c r="I224" s="160" t="s">
        <v>8696</v>
      </c>
      <c r="J224" s="160" t="s">
        <v>569</v>
      </c>
      <c r="K224" s="160">
        <v>2020</v>
      </c>
      <c r="L224" s="160" t="s">
        <v>9139</v>
      </c>
      <c r="M224" s="168" t="s">
        <v>8697</v>
      </c>
      <c r="N224" s="162"/>
      <c r="O224" s="162"/>
      <c r="P224" s="162"/>
      <c r="Q224" s="162"/>
      <c r="R224" s="162"/>
      <c r="S224" s="162"/>
    </row>
    <row r="225" spans="1:19" ht="16.350000000000001" customHeight="1">
      <c r="A225" s="167">
        <v>90</v>
      </c>
      <c r="B225" s="160" t="s">
        <v>5071</v>
      </c>
      <c r="C225" s="160" t="s">
        <v>9173</v>
      </c>
      <c r="D225" s="161">
        <v>9781799818373</v>
      </c>
      <c r="E225" s="161">
        <v>9781799818359</v>
      </c>
      <c r="F225" s="160" t="s">
        <v>8742</v>
      </c>
      <c r="G225" s="160">
        <v>1</v>
      </c>
      <c r="H225" s="160" t="s">
        <v>6518</v>
      </c>
      <c r="I225" s="160" t="s">
        <v>8743</v>
      </c>
      <c r="J225" s="160" t="s">
        <v>569</v>
      </c>
      <c r="K225" s="160">
        <v>2020</v>
      </c>
      <c r="L225" s="160" t="s">
        <v>9139</v>
      </c>
      <c r="M225" s="168" t="s">
        <v>8744</v>
      </c>
      <c r="N225" s="162"/>
      <c r="O225" s="162"/>
      <c r="P225" s="162"/>
      <c r="Q225" s="162"/>
      <c r="R225" s="162"/>
      <c r="S225" s="162"/>
    </row>
    <row r="226" spans="1:19" ht="16.350000000000001" customHeight="1">
      <c r="A226" s="167">
        <v>109</v>
      </c>
      <c r="B226" s="160" t="s">
        <v>5071</v>
      </c>
      <c r="C226" s="160" t="s">
        <v>9173</v>
      </c>
      <c r="D226" s="161">
        <v>9781799830511</v>
      </c>
      <c r="E226" s="161">
        <v>9781799830498</v>
      </c>
      <c r="F226" s="160" t="s">
        <v>8797</v>
      </c>
      <c r="G226" s="160">
        <v>1</v>
      </c>
      <c r="H226" s="160" t="s">
        <v>6518</v>
      </c>
      <c r="I226" s="160" t="s">
        <v>8798</v>
      </c>
      <c r="J226" s="160" t="s">
        <v>569</v>
      </c>
      <c r="K226" s="160">
        <v>2021</v>
      </c>
      <c r="L226" s="160" t="s">
        <v>9139</v>
      </c>
      <c r="M226" s="168" t="s">
        <v>8799</v>
      </c>
      <c r="N226" s="162"/>
      <c r="O226" s="162"/>
      <c r="P226" s="162"/>
      <c r="Q226" s="162"/>
      <c r="R226" s="162"/>
      <c r="S226" s="162"/>
    </row>
    <row r="227" spans="1:19" ht="16.350000000000001" customHeight="1">
      <c r="A227" s="167">
        <v>188</v>
      </c>
      <c r="B227" s="160" t="s">
        <v>571</v>
      </c>
      <c r="C227" s="160" t="s">
        <v>9174</v>
      </c>
      <c r="D227" s="161">
        <v>9781799801924</v>
      </c>
      <c r="E227" s="161">
        <v>9781799801900</v>
      </c>
      <c r="F227" s="160" t="s">
        <v>9015</v>
      </c>
      <c r="G227" s="160">
        <v>1</v>
      </c>
      <c r="H227" s="160" t="s">
        <v>6518</v>
      </c>
      <c r="I227" s="160" t="s">
        <v>9016</v>
      </c>
      <c r="J227" s="160" t="s">
        <v>1233</v>
      </c>
      <c r="K227" s="160">
        <v>2020</v>
      </c>
      <c r="L227" s="160" t="s">
        <v>9139</v>
      </c>
      <c r="M227" s="168" t="s">
        <v>9017</v>
      </c>
      <c r="N227" s="162"/>
      <c r="O227" s="162"/>
      <c r="P227" s="162"/>
      <c r="Q227" s="162"/>
      <c r="R227" s="162"/>
      <c r="S227" s="162"/>
    </row>
    <row r="228" spans="1:19" ht="16.350000000000001" customHeight="1">
      <c r="A228" s="174">
        <v>159</v>
      </c>
      <c r="B228" s="175" t="s">
        <v>5413</v>
      </c>
      <c r="C228" s="175" t="s">
        <v>9175</v>
      </c>
      <c r="D228" s="176">
        <v>9781799850939</v>
      </c>
      <c r="E228" s="176">
        <v>9781799850922</v>
      </c>
      <c r="F228" s="175" t="s">
        <v>8939</v>
      </c>
      <c r="G228" s="175">
        <v>1</v>
      </c>
      <c r="H228" s="175" t="s">
        <v>6518</v>
      </c>
      <c r="I228" s="175" t="s">
        <v>8940</v>
      </c>
      <c r="J228" s="175" t="s">
        <v>569</v>
      </c>
      <c r="K228" s="175">
        <v>2020</v>
      </c>
      <c r="L228" s="175" t="s">
        <v>9139</v>
      </c>
      <c r="M228" s="177" t="s">
        <v>8941</v>
      </c>
      <c r="N228" s="162"/>
      <c r="O228" s="162"/>
      <c r="P228" s="162"/>
      <c r="Q228" s="162"/>
      <c r="R228" s="162"/>
      <c r="S228" s="162"/>
    </row>
  </sheetData>
  <sortState xmlns:xlrd2="http://schemas.microsoft.com/office/spreadsheetml/2017/richdata2" ref="A2:T228">
    <sortCondition ref="C2:C228"/>
  </sortState>
  <phoneticPr fontId="3" type="noConversion"/>
  <conditionalFormatting sqref="D2:D228">
    <cfRule type="duplicateValues" dxfId="38" priority="1"/>
  </conditionalFormatting>
  <hyperlinks>
    <hyperlink ref="M166" r:id="rId1" xr:uid="{00000000-0004-0000-0900-000000000000}"/>
    <hyperlink ref="M167" r:id="rId2" xr:uid="{00000000-0004-0000-0900-000001000000}"/>
    <hyperlink ref="M168" r:id="rId3" xr:uid="{00000000-0004-0000-0900-000002000000}"/>
    <hyperlink ref="M216" r:id="rId4" xr:uid="{00000000-0004-0000-0900-000003000000}"/>
    <hyperlink ref="M200" r:id="rId5" xr:uid="{00000000-0004-0000-0900-000004000000}"/>
    <hyperlink ref="M169" r:id="rId6" xr:uid="{00000000-0004-0000-0900-000005000000}"/>
    <hyperlink ref="M148" r:id="rId7" xr:uid="{00000000-0004-0000-0900-000006000000}"/>
    <hyperlink ref="M97" r:id="rId8" xr:uid="{00000000-0004-0000-0900-000007000000}"/>
    <hyperlink ref="M170" r:id="rId9" xr:uid="{00000000-0004-0000-0900-000008000000}"/>
    <hyperlink ref="M223" r:id="rId10" xr:uid="{00000000-0004-0000-0900-000009000000}"/>
    <hyperlink ref="M171" r:id="rId11" xr:uid="{00000000-0004-0000-0900-00000A000000}"/>
    <hyperlink ref="M98" r:id="rId12" xr:uid="{00000000-0004-0000-0900-00000B000000}"/>
    <hyperlink ref="M130" r:id="rId13" xr:uid="{00000000-0004-0000-0900-00000C000000}"/>
    <hyperlink ref="M154" r:id="rId14" xr:uid="{00000000-0004-0000-0900-00000D000000}"/>
    <hyperlink ref="M172" r:id="rId15" xr:uid="{00000000-0004-0000-0900-00000E000000}"/>
    <hyperlink ref="M99" r:id="rId16" xr:uid="{00000000-0004-0000-0900-00000F000000}"/>
    <hyperlink ref="M100" r:id="rId17" xr:uid="{00000000-0004-0000-0900-000010000000}"/>
    <hyperlink ref="M101" r:id="rId18" xr:uid="{00000000-0004-0000-0900-000011000000}"/>
    <hyperlink ref="M102" r:id="rId19" xr:uid="{00000000-0004-0000-0900-000012000000}"/>
    <hyperlink ref="M173" r:id="rId20" xr:uid="{00000000-0004-0000-0900-000013000000}"/>
    <hyperlink ref="M174" r:id="rId21" xr:uid="{00000000-0004-0000-0900-000014000000}"/>
    <hyperlink ref="M155" r:id="rId22" xr:uid="{00000000-0004-0000-0900-000015000000}"/>
    <hyperlink ref="M156" r:id="rId23" xr:uid="{00000000-0004-0000-0900-000016000000}"/>
    <hyperlink ref="M175" r:id="rId24" xr:uid="{00000000-0004-0000-0900-000017000000}"/>
    <hyperlink ref="M176" r:id="rId25" xr:uid="{00000000-0004-0000-0900-000018000000}"/>
    <hyperlink ref="M137" r:id="rId26" xr:uid="{00000000-0004-0000-0900-000019000000}"/>
    <hyperlink ref="M103" r:id="rId27" xr:uid="{00000000-0004-0000-0900-00001A000000}"/>
    <hyperlink ref="M104" r:id="rId28" xr:uid="{00000000-0004-0000-0900-00001B000000}"/>
    <hyperlink ref="M138" r:id="rId29" xr:uid="{00000000-0004-0000-0900-00001C000000}"/>
    <hyperlink ref="M177" r:id="rId30" xr:uid="{00000000-0004-0000-0900-00001D000000}"/>
    <hyperlink ref="M178" r:id="rId31" xr:uid="{00000000-0004-0000-0900-00001E000000}"/>
    <hyperlink ref="M217" r:id="rId32" xr:uid="{00000000-0004-0000-0900-00001F000000}"/>
    <hyperlink ref="M105" r:id="rId33" xr:uid="{00000000-0004-0000-0900-000020000000}"/>
    <hyperlink ref="M149" r:id="rId34" xr:uid="{00000000-0004-0000-0900-000021000000}"/>
    <hyperlink ref="M95" r:id="rId35" xr:uid="{00000000-0004-0000-0900-000022000000}"/>
    <hyperlink ref="M218" r:id="rId36" xr:uid="{00000000-0004-0000-0900-000023000000}"/>
    <hyperlink ref="M139" r:id="rId37" xr:uid="{00000000-0004-0000-0900-000024000000}"/>
    <hyperlink ref="M179" r:id="rId38" xr:uid="{00000000-0004-0000-0900-000025000000}"/>
    <hyperlink ref="M106" r:id="rId39" xr:uid="{00000000-0004-0000-0900-000026000000}"/>
    <hyperlink ref="M126" r:id="rId40" xr:uid="{00000000-0004-0000-0900-000027000000}"/>
    <hyperlink ref="M180" r:id="rId41" xr:uid="{00000000-0004-0000-0900-000028000000}"/>
    <hyperlink ref="M181" r:id="rId42" xr:uid="{00000000-0004-0000-0900-000029000000}"/>
    <hyperlink ref="M182" r:id="rId43" xr:uid="{00000000-0004-0000-0900-00002A000000}"/>
    <hyperlink ref="M201" r:id="rId44" xr:uid="{00000000-0004-0000-0900-00002B000000}"/>
    <hyperlink ref="M107" r:id="rId45" xr:uid="{00000000-0004-0000-0900-00002C000000}"/>
    <hyperlink ref="M108" r:id="rId46" xr:uid="{00000000-0004-0000-0900-00002D000000}"/>
    <hyperlink ref="M109" r:id="rId47" xr:uid="{00000000-0004-0000-0900-00002E000000}"/>
    <hyperlink ref="M183" r:id="rId48" xr:uid="{00000000-0004-0000-0900-00002F000000}"/>
    <hyperlink ref="M202" r:id="rId49" xr:uid="{00000000-0004-0000-0900-000030000000}"/>
    <hyperlink ref="M110" r:id="rId50" xr:uid="{00000000-0004-0000-0900-000031000000}"/>
    <hyperlink ref="M111" r:id="rId51" xr:uid="{00000000-0004-0000-0900-000032000000}"/>
    <hyperlink ref="M203" r:id="rId52" xr:uid="{00000000-0004-0000-0900-000033000000}"/>
    <hyperlink ref="M150" r:id="rId53" xr:uid="{00000000-0004-0000-0900-000034000000}"/>
    <hyperlink ref="M184" r:id="rId54" xr:uid="{00000000-0004-0000-0900-000035000000}"/>
    <hyperlink ref="M112" r:id="rId55" xr:uid="{00000000-0004-0000-0900-000036000000}"/>
    <hyperlink ref="M140" r:id="rId56" xr:uid="{00000000-0004-0000-0900-000037000000}"/>
    <hyperlink ref="M94" r:id="rId57" xr:uid="{00000000-0004-0000-0900-000038000000}"/>
    <hyperlink ref="M157" r:id="rId58" xr:uid="{00000000-0004-0000-0900-000039000000}"/>
    <hyperlink ref="M204" r:id="rId59" xr:uid="{00000000-0004-0000-0900-00003A000000}"/>
    <hyperlink ref="M131" r:id="rId60" xr:uid="{00000000-0004-0000-0900-00003B000000}"/>
    <hyperlink ref="M185" r:id="rId61" xr:uid="{00000000-0004-0000-0900-00003C000000}"/>
    <hyperlink ref="M205" r:id="rId62" xr:uid="{00000000-0004-0000-0900-00003D000000}"/>
    <hyperlink ref="M127" r:id="rId63" xr:uid="{00000000-0004-0000-0900-00003E000000}"/>
    <hyperlink ref="M151" r:id="rId64" xr:uid="{00000000-0004-0000-0900-00003F000000}"/>
    <hyperlink ref="M141" r:id="rId65" xr:uid="{00000000-0004-0000-0900-000040000000}"/>
    <hyperlink ref="M206" r:id="rId66" xr:uid="{00000000-0004-0000-0900-000041000000}"/>
    <hyperlink ref="M158" r:id="rId67" xr:uid="{00000000-0004-0000-0900-000042000000}"/>
    <hyperlink ref="M113" r:id="rId68" xr:uid="{00000000-0004-0000-0900-000043000000}"/>
    <hyperlink ref="M114" r:id="rId69" xr:uid="{00000000-0004-0000-0900-000044000000}"/>
    <hyperlink ref="M142" r:id="rId70" xr:uid="{00000000-0004-0000-0900-000045000000}"/>
    <hyperlink ref="M207" r:id="rId71" xr:uid="{00000000-0004-0000-0900-000046000000}"/>
    <hyperlink ref="M224" r:id="rId72" xr:uid="{00000000-0004-0000-0900-000047000000}"/>
    <hyperlink ref="M186" r:id="rId73" xr:uid="{00000000-0004-0000-0900-000048000000}"/>
    <hyperlink ref="M128" r:id="rId74" xr:uid="{00000000-0004-0000-0900-000049000000}"/>
    <hyperlink ref="M159" r:id="rId75" xr:uid="{00000000-0004-0000-0900-00004A000000}"/>
    <hyperlink ref="M115" r:id="rId76" xr:uid="{00000000-0004-0000-0900-00004B000000}"/>
    <hyperlink ref="M187" r:id="rId77" xr:uid="{00000000-0004-0000-0900-00004C000000}"/>
    <hyperlink ref="M188" r:id="rId78" xr:uid="{00000000-0004-0000-0900-00004D000000}"/>
    <hyperlink ref="M116" r:id="rId79" xr:uid="{00000000-0004-0000-0900-00004E000000}"/>
    <hyperlink ref="M117" r:id="rId80" xr:uid="{00000000-0004-0000-0900-00004F000000}"/>
    <hyperlink ref="M189" r:id="rId81" xr:uid="{00000000-0004-0000-0900-000050000000}"/>
    <hyperlink ref="M143" r:id="rId82" xr:uid="{00000000-0004-0000-0900-000051000000}"/>
    <hyperlink ref="M118" r:id="rId83" xr:uid="{00000000-0004-0000-0900-000052000000}"/>
    <hyperlink ref="M152" r:id="rId84" xr:uid="{00000000-0004-0000-0900-000053000000}"/>
    <hyperlink ref="M219" r:id="rId85" xr:uid="{00000000-0004-0000-0900-000054000000}"/>
    <hyperlink ref="M119" r:id="rId86" xr:uid="{00000000-0004-0000-0900-000055000000}"/>
    <hyperlink ref="M120" r:id="rId87" xr:uid="{00000000-0004-0000-0900-000056000000}"/>
    <hyperlink ref="M190" r:id="rId88" xr:uid="{00000000-0004-0000-0900-000057000000}"/>
    <hyperlink ref="M136" r:id="rId89" xr:uid="{00000000-0004-0000-0900-000058000000}"/>
    <hyperlink ref="M225" r:id="rId90" xr:uid="{00000000-0004-0000-0900-000059000000}"/>
    <hyperlink ref="M160" r:id="rId91" xr:uid="{00000000-0004-0000-0900-00005A000000}"/>
    <hyperlink ref="M208" r:id="rId92" xr:uid="{00000000-0004-0000-0900-00005B000000}"/>
    <hyperlink ref="M191" r:id="rId93" xr:uid="{00000000-0004-0000-0900-00005C000000}"/>
    <hyperlink ref="M220" r:id="rId94" xr:uid="{00000000-0004-0000-0900-00005D000000}"/>
    <hyperlink ref="M121" r:id="rId95" xr:uid="{00000000-0004-0000-0900-00005E000000}"/>
    <hyperlink ref="M209" r:id="rId96" xr:uid="{00000000-0004-0000-0900-00005F000000}"/>
    <hyperlink ref="M161" r:id="rId97" xr:uid="{00000000-0004-0000-0900-000060000000}"/>
    <hyperlink ref="M192" r:id="rId98" xr:uid="{00000000-0004-0000-0900-000061000000}"/>
    <hyperlink ref="M162" r:id="rId99" xr:uid="{00000000-0004-0000-0900-000062000000}"/>
    <hyperlink ref="M163" r:id="rId100" xr:uid="{00000000-0004-0000-0900-000063000000}"/>
    <hyperlink ref="M221" r:id="rId101" xr:uid="{00000000-0004-0000-0900-000064000000}"/>
    <hyperlink ref="M193" r:id="rId102" xr:uid="{00000000-0004-0000-0900-000065000000}"/>
    <hyperlink ref="M144" r:id="rId103" xr:uid="{00000000-0004-0000-0900-000066000000}"/>
    <hyperlink ref="M210" r:id="rId104" xr:uid="{00000000-0004-0000-0900-000067000000}"/>
    <hyperlink ref="M194" r:id="rId105" xr:uid="{00000000-0004-0000-0900-000068000000}"/>
    <hyperlink ref="M145" r:id="rId106" xr:uid="{00000000-0004-0000-0900-000069000000}"/>
    <hyperlink ref="M122" r:id="rId107" xr:uid="{00000000-0004-0000-0900-00006A000000}"/>
    <hyperlink ref="M146" r:id="rId108" xr:uid="{00000000-0004-0000-0900-00006B000000}"/>
    <hyperlink ref="M226" r:id="rId109" xr:uid="{00000000-0004-0000-0900-00006C000000}"/>
    <hyperlink ref="M164" r:id="rId110" xr:uid="{00000000-0004-0000-0900-00006D000000}"/>
    <hyperlink ref="M132" r:id="rId111" xr:uid="{00000000-0004-0000-0900-00006E000000}"/>
    <hyperlink ref="M133" r:id="rId112" xr:uid="{00000000-0004-0000-0900-00006F000000}"/>
    <hyperlink ref="M211" r:id="rId113" xr:uid="{00000000-0004-0000-0900-000070000000}"/>
    <hyperlink ref="M123" r:id="rId114" xr:uid="{00000000-0004-0000-0900-000071000000}"/>
    <hyperlink ref="M96" r:id="rId115" xr:uid="{00000000-0004-0000-0900-000072000000}"/>
    <hyperlink ref="M147" r:id="rId116" xr:uid="{00000000-0004-0000-0900-000073000000}"/>
    <hyperlink ref="M212" r:id="rId117" xr:uid="{00000000-0004-0000-0900-000074000000}"/>
    <hyperlink ref="M134" r:id="rId118" xr:uid="{00000000-0004-0000-0900-000075000000}"/>
    <hyperlink ref="M222" r:id="rId119" xr:uid="{00000000-0004-0000-0900-000076000000}"/>
    <hyperlink ref="M213" r:id="rId120" xr:uid="{00000000-0004-0000-0900-000077000000}"/>
    <hyperlink ref="M214" r:id="rId121" xr:uid="{00000000-0004-0000-0900-000078000000}"/>
    <hyperlink ref="M153" r:id="rId122" xr:uid="{00000000-0004-0000-0900-000079000000}"/>
    <hyperlink ref="M124" r:id="rId123" xr:uid="{00000000-0004-0000-0900-00007A000000}"/>
    <hyperlink ref="M195" r:id="rId124" xr:uid="{00000000-0004-0000-0900-00007B000000}"/>
    <hyperlink ref="M196" r:id="rId125" xr:uid="{00000000-0004-0000-0900-00007C000000}"/>
    <hyperlink ref="M135" r:id="rId126" xr:uid="{00000000-0004-0000-0900-00007D000000}"/>
    <hyperlink ref="M129" r:id="rId127" xr:uid="{00000000-0004-0000-0900-00007E000000}"/>
    <hyperlink ref="M125" r:id="rId128" xr:uid="{00000000-0004-0000-0900-00007F000000}"/>
    <hyperlink ref="M215" r:id="rId129" xr:uid="{00000000-0004-0000-0900-000080000000}"/>
    <hyperlink ref="M197" r:id="rId130" xr:uid="{00000000-0004-0000-0900-000081000000}"/>
    <hyperlink ref="M198" r:id="rId131" xr:uid="{00000000-0004-0000-0900-000082000000}"/>
    <hyperlink ref="M199" r:id="rId132" xr:uid="{00000000-0004-0000-0900-000083000000}"/>
    <hyperlink ref="M165" r:id="rId133" xr:uid="{00000000-0004-0000-0900-000084000000}"/>
    <hyperlink ref="M3" r:id="rId134" xr:uid="{00000000-0004-0000-0900-000085000000}"/>
    <hyperlink ref="M23" r:id="rId135" xr:uid="{00000000-0004-0000-0900-000086000000}"/>
    <hyperlink ref="M8" r:id="rId136" xr:uid="{00000000-0004-0000-0900-000087000000}"/>
    <hyperlink ref="M4" r:id="rId137" xr:uid="{00000000-0004-0000-0900-000088000000}"/>
    <hyperlink ref="M9" r:id="rId138" xr:uid="{00000000-0004-0000-0900-000089000000}"/>
    <hyperlink ref="M10" r:id="rId139" xr:uid="{00000000-0004-0000-0900-00008A000000}"/>
    <hyperlink ref="M25" r:id="rId140" xr:uid="{00000000-0004-0000-0900-00008B000000}"/>
    <hyperlink ref="M18" r:id="rId141" xr:uid="{00000000-0004-0000-0900-00008C000000}"/>
    <hyperlink ref="M11" r:id="rId142" xr:uid="{00000000-0004-0000-0900-00008D000000}"/>
    <hyperlink ref="M22" r:id="rId143" xr:uid="{00000000-0004-0000-0900-00008E000000}"/>
    <hyperlink ref="M12" r:id="rId144" xr:uid="{00000000-0004-0000-0900-00008F000000}"/>
    <hyperlink ref="M5" r:id="rId145" xr:uid="{00000000-0004-0000-0900-000090000000}"/>
    <hyperlink ref="M26" r:id="rId146" xr:uid="{00000000-0004-0000-0900-000091000000}"/>
    <hyperlink ref="M24" r:id="rId147" xr:uid="{00000000-0004-0000-0900-000092000000}"/>
    <hyperlink ref="M6" r:id="rId148" xr:uid="{00000000-0004-0000-0900-000093000000}"/>
    <hyperlink ref="M13" r:id="rId149" xr:uid="{00000000-0004-0000-0900-000094000000}"/>
    <hyperlink ref="M28" r:id="rId150" xr:uid="{00000000-0004-0000-0900-000095000000}"/>
    <hyperlink ref="M2" r:id="rId151" xr:uid="{00000000-0004-0000-0900-000096000000}"/>
    <hyperlink ref="M20" r:id="rId152" xr:uid="{00000000-0004-0000-0900-000097000000}"/>
    <hyperlink ref="M27" r:id="rId153" xr:uid="{00000000-0004-0000-0900-000098000000}"/>
    <hyperlink ref="M14" r:id="rId154" xr:uid="{00000000-0004-0000-0900-000099000000}"/>
    <hyperlink ref="M15" r:id="rId155" xr:uid="{00000000-0004-0000-0900-00009A000000}"/>
    <hyperlink ref="M16" r:id="rId156" xr:uid="{00000000-0004-0000-0900-00009B000000}"/>
    <hyperlink ref="M21" r:id="rId157" xr:uid="{00000000-0004-0000-0900-00009C000000}"/>
    <hyperlink ref="M7" r:id="rId158" xr:uid="{00000000-0004-0000-0900-00009D000000}"/>
    <hyperlink ref="M228" r:id="rId159" xr:uid="{00000000-0004-0000-0900-00009E000000}"/>
    <hyperlink ref="M19" r:id="rId160" xr:uid="{00000000-0004-0000-0900-00009F000000}"/>
    <hyperlink ref="M17" r:id="rId161" xr:uid="{00000000-0004-0000-0900-0000A0000000}"/>
    <hyperlink ref="M36" r:id="rId162" xr:uid="{00000000-0004-0000-0900-0000A1000000}"/>
    <hyperlink ref="M74" r:id="rId163" xr:uid="{00000000-0004-0000-0900-0000A2000000}"/>
    <hyperlink ref="M37" r:id="rId164" xr:uid="{00000000-0004-0000-0900-0000A3000000}"/>
    <hyperlink ref="M75" r:id="rId165" xr:uid="{00000000-0004-0000-0900-0000A4000000}"/>
    <hyperlink ref="M38" r:id="rId166" xr:uid="{00000000-0004-0000-0900-0000A5000000}"/>
    <hyperlink ref="M29" r:id="rId167" xr:uid="{00000000-0004-0000-0900-0000A6000000}"/>
    <hyperlink ref="M91" r:id="rId168" xr:uid="{00000000-0004-0000-0900-0000A7000000}"/>
    <hyperlink ref="M39" r:id="rId169" xr:uid="{00000000-0004-0000-0900-0000A8000000}"/>
    <hyperlink ref="M76" r:id="rId170" xr:uid="{00000000-0004-0000-0900-0000A9000000}"/>
    <hyperlink ref="M40" r:id="rId171" xr:uid="{00000000-0004-0000-0900-0000AA000000}"/>
    <hyperlink ref="M41" r:id="rId172" xr:uid="{00000000-0004-0000-0900-0000AB000000}"/>
    <hyperlink ref="M42" r:id="rId173" xr:uid="{00000000-0004-0000-0900-0000AC000000}"/>
    <hyperlink ref="M80" r:id="rId174" xr:uid="{00000000-0004-0000-0900-0000AD000000}"/>
    <hyperlink ref="M77" r:id="rId175" xr:uid="{00000000-0004-0000-0900-0000AE000000}"/>
    <hyperlink ref="M78" r:id="rId176" xr:uid="{00000000-0004-0000-0900-0000AF000000}"/>
    <hyperlink ref="M81" r:id="rId177" xr:uid="{00000000-0004-0000-0900-0000B0000000}"/>
    <hyperlink ref="M82" r:id="rId178" xr:uid="{00000000-0004-0000-0900-0000B1000000}"/>
    <hyperlink ref="M43" r:id="rId179" xr:uid="{00000000-0004-0000-0900-0000B2000000}"/>
    <hyperlink ref="M88" r:id="rId180" xr:uid="{00000000-0004-0000-0900-0000B3000000}"/>
    <hyperlink ref="M44" r:id="rId181" xr:uid="{00000000-0004-0000-0900-0000B4000000}"/>
    <hyperlink ref="M45" r:id="rId182" xr:uid="{00000000-0004-0000-0900-0000B5000000}"/>
    <hyperlink ref="M46" r:id="rId183" xr:uid="{00000000-0004-0000-0900-0000B6000000}"/>
    <hyperlink ref="M47" r:id="rId184" xr:uid="{00000000-0004-0000-0900-0000B7000000}"/>
    <hyperlink ref="M87" r:id="rId185" xr:uid="{00000000-0004-0000-0900-0000B8000000}"/>
    <hyperlink ref="M48" r:id="rId186" xr:uid="{00000000-0004-0000-0900-0000B9000000}"/>
    <hyperlink ref="M92" r:id="rId187" xr:uid="{00000000-0004-0000-0900-0000BA000000}"/>
    <hyperlink ref="M227" r:id="rId188" xr:uid="{00000000-0004-0000-0900-0000BB000000}"/>
    <hyperlink ref="M49" r:id="rId189" xr:uid="{00000000-0004-0000-0900-0000BC000000}"/>
    <hyperlink ref="M31" r:id="rId190" xr:uid="{00000000-0004-0000-0900-0000BD000000}"/>
    <hyperlink ref="M93" r:id="rId191" xr:uid="{00000000-0004-0000-0900-0000BE000000}"/>
    <hyperlink ref="M32" r:id="rId192" xr:uid="{00000000-0004-0000-0900-0000BF000000}"/>
    <hyperlink ref="M50" r:id="rId193" xr:uid="{00000000-0004-0000-0900-0000C0000000}"/>
    <hyperlink ref="M51" r:id="rId194" xr:uid="{00000000-0004-0000-0900-0000C1000000}"/>
    <hyperlink ref="M79" r:id="rId195" xr:uid="{00000000-0004-0000-0900-0000C2000000}"/>
    <hyperlink ref="M52" r:id="rId196" xr:uid="{00000000-0004-0000-0900-0000C3000000}"/>
    <hyperlink ref="M53" r:id="rId197" xr:uid="{00000000-0004-0000-0900-0000C4000000}"/>
    <hyperlink ref="M83" r:id="rId198" xr:uid="{00000000-0004-0000-0900-0000C5000000}"/>
    <hyperlink ref="M54" r:id="rId199" xr:uid="{00000000-0004-0000-0900-0000C6000000}"/>
    <hyperlink ref="M30" r:id="rId200" xr:uid="{00000000-0004-0000-0900-0000C7000000}"/>
    <hyperlink ref="M33" r:id="rId201" xr:uid="{00000000-0004-0000-0900-0000C8000000}"/>
    <hyperlink ref="M89" r:id="rId202" xr:uid="{00000000-0004-0000-0900-0000C9000000}"/>
    <hyperlink ref="M84" r:id="rId203" xr:uid="{00000000-0004-0000-0900-0000CA000000}"/>
    <hyperlink ref="M85" r:id="rId204" xr:uid="{00000000-0004-0000-0900-0000CB000000}"/>
    <hyperlink ref="M55" r:id="rId205" xr:uid="{00000000-0004-0000-0900-0000CC000000}"/>
    <hyperlink ref="M56" r:id="rId206" xr:uid="{00000000-0004-0000-0900-0000CD000000}"/>
    <hyperlink ref="M34" r:id="rId207" xr:uid="{00000000-0004-0000-0900-0000CE000000}"/>
    <hyperlink ref="M57" r:id="rId208" xr:uid="{00000000-0004-0000-0900-0000CF000000}"/>
    <hyperlink ref="M58" r:id="rId209" xr:uid="{00000000-0004-0000-0900-0000D0000000}"/>
    <hyperlink ref="M59" r:id="rId210" xr:uid="{00000000-0004-0000-0900-0000D1000000}"/>
    <hyperlink ref="M90" r:id="rId211" xr:uid="{00000000-0004-0000-0900-0000D2000000}"/>
    <hyperlink ref="M60" r:id="rId212" xr:uid="{00000000-0004-0000-0900-0000D3000000}"/>
    <hyperlink ref="M61" r:id="rId213" xr:uid="{00000000-0004-0000-0900-0000D4000000}"/>
    <hyperlink ref="M62" r:id="rId214" xr:uid="{00000000-0004-0000-0900-0000D5000000}"/>
    <hyperlink ref="M63" r:id="rId215" xr:uid="{00000000-0004-0000-0900-0000D6000000}"/>
    <hyperlink ref="M64" r:id="rId216" xr:uid="{00000000-0004-0000-0900-0000D7000000}"/>
    <hyperlink ref="M65" r:id="rId217" xr:uid="{00000000-0004-0000-0900-0000D8000000}"/>
    <hyperlink ref="M35" r:id="rId218" xr:uid="{00000000-0004-0000-0900-0000D9000000}"/>
    <hyperlink ref="M66" r:id="rId219" xr:uid="{00000000-0004-0000-0900-0000DA000000}"/>
    <hyperlink ref="M67" r:id="rId220" xr:uid="{00000000-0004-0000-0900-0000DB000000}"/>
    <hyperlink ref="M68" r:id="rId221" xr:uid="{00000000-0004-0000-0900-0000DC000000}"/>
    <hyperlink ref="M69" r:id="rId222" xr:uid="{00000000-0004-0000-0900-0000DD000000}"/>
    <hyperlink ref="M70" r:id="rId223" xr:uid="{00000000-0004-0000-0900-0000DE000000}"/>
    <hyperlink ref="M71" r:id="rId224" xr:uid="{00000000-0004-0000-0900-0000DF000000}"/>
    <hyperlink ref="M86" r:id="rId225" xr:uid="{00000000-0004-0000-0900-0000E0000000}"/>
    <hyperlink ref="M72" r:id="rId226" xr:uid="{00000000-0004-0000-0900-0000E1000000}"/>
    <hyperlink ref="M73" r:id="rId227" xr:uid="{00000000-0004-0000-0900-0000E2000000}"/>
  </hyperlinks>
  <pageMargins left="0.7" right="0.7" top="0.75" bottom="0.75" header="0.3" footer="0.3"/>
  <pageSetup paperSize="9" orientation="portrait" r:id="rId228"/>
  <tableParts count="1">
    <tablePart r:id="rId229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25E7-DFC2-44CD-AF09-E148962B8307}">
  <dimension ref="A1:N254"/>
  <sheetViews>
    <sheetView topLeftCell="C1" workbookViewId="0">
      <selection activeCell="C1" sqref="C1"/>
    </sheetView>
  </sheetViews>
  <sheetFormatPr defaultRowHeight="20.100000000000001" customHeight="1"/>
  <cols>
    <col min="1" max="2" width="0" hidden="1" customWidth="1"/>
    <col min="3" max="3" width="46.109375" customWidth="1"/>
    <col min="4" max="5" width="13.77734375" hidden="1" customWidth="1"/>
    <col min="6" max="6" width="73.6640625" customWidth="1"/>
    <col min="7" max="8" width="0" hidden="1" customWidth="1"/>
    <col min="9" max="9" width="24.6640625" customWidth="1"/>
    <col min="10" max="10" width="0" hidden="1" customWidth="1"/>
    <col min="11" max="11" width="9.109375" customWidth="1"/>
    <col min="12" max="13" width="0" hidden="1" customWidth="1"/>
    <col min="14" max="14" width="61" style="12" customWidth="1"/>
  </cols>
  <sheetData>
    <row r="1" spans="1:14" ht="20.100000000000001" customHeight="1">
      <c r="A1" s="197" t="s">
        <v>9182</v>
      </c>
      <c r="B1" s="198" t="s">
        <v>9183</v>
      </c>
      <c r="C1" s="211" t="s">
        <v>1620</v>
      </c>
      <c r="D1" s="212" t="s">
        <v>1621</v>
      </c>
      <c r="E1" s="212" t="s">
        <v>544</v>
      </c>
      <c r="F1" s="213" t="s">
        <v>1622</v>
      </c>
      <c r="G1" s="211" t="s">
        <v>545</v>
      </c>
      <c r="H1" s="211" t="s">
        <v>1624</v>
      </c>
      <c r="I1" s="211" t="s">
        <v>1625</v>
      </c>
      <c r="J1" s="211" t="s">
        <v>1626</v>
      </c>
      <c r="K1" s="211" t="s">
        <v>1623</v>
      </c>
      <c r="L1" s="211" t="s">
        <v>7498</v>
      </c>
      <c r="M1" s="211" t="s">
        <v>5723</v>
      </c>
      <c r="N1" s="214" t="s">
        <v>534</v>
      </c>
    </row>
    <row r="2" spans="1:14" ht="20.100000000000001" customHeight="1">
      <c r="A2" s="194">
        <v>135</v>
      </c>
      <c r="B2" s="178" t="s">
        <v>5413</v>
      </c>
      <c r="C2" s="178" t="s">
        <v>9569</v>
      </c>
      <c r="D2" s="179">
        <v>9781799835967</v>
      </c>
      <c r="E2" s="179">
        <v>9781799835943</v>
      </c>
      <c r="F2" s="180" t="s">
        <v>9570</v>
      </c>
      <c r="G2" s="181">
        <v>1</v>
      </c>
      <c r="H2" s="181">
        <v>1</v>
      </c>
      <c r="I2" s="178" t="s">
        <v>9571</v>
      </c>
      <c r="J2" s="178" t="s">
        <v>561</v>
      </c>
      <c r="K2" s="181">
        <v>2020</v>
      </c>
      <c r="L2" s="178" t="s">
        <v>9186</v>
      </c>
      <c r="M2" s="182"/>
      <c r="N2" s="208" t="s">
        <v>9572</v>
      </c>
    </row>
    <row r="3" spans="1:14" ht="20.100000000000001" customHeight="1">
      <c r="A3" s="194">
        <v>132</v>
      </c>
      <c r="B3" s="178" t="s">
        <v>5413</v>
      </c>
      <c r="C3" s="178" t="s">
        <v>9560</v>
      </c>
      <c r="D3" s="179">
        <v>9781799821403</v>
      </c>
      <c r="E3" s="179">
        <v>9781799821397</v>
      </c>
      <c r="F3" s="180" t="s">
        <v>9561</v>
      </c>
      <c r="G3" s="181">
        <v>1</v>
      </c>
      <c r="H3" s="181">
        <v>1</v>
      </c>
      <c r="I3" s="178" t="s">
        <v>8685</v>
      </c>
      <c r="J3" s="178" t="s">
        <v>561</v>
      </c>
      <c r="K3" s="181">
        <v>2020</v>
      </c>
      <c r="L3" s="178" t="s">
        <v>9186</v>
      </c>
      <c r="M3" s="182"/>
      <c r="N3" s="208" t="s">
        <v>9562</v>
      </c>
    </row>
    <row r="4" spans="1:14" ht="20.100000000000001" customHeight="1">
      <c r="A4" s="194">
        <v>118</v>
      </c>
      <c r="B4" s="178" t="s">
        <v>5413</v>
      </c>
      <c r="C4" s="178" t="s">
        <v>9515</v>
      </c>
      <c r="D4" s="179">
        <v>9781522582458</v>
      </c>
      <c r="E4" s="179">
        <v>9781522582441</v>
      </c>
      <c r="F4" s="180" t="s">
        <v>9516</v>
      </c>
      <c r="G4" s="181">
        <v>1</v>
      </c>
      <c r="H4" s="181">
        <v>1</v>
      </c>
      <c r="I4" s="178" t="s">
        <v>9517</v>
      </c>
      <c r="J4" s="178" t="s">
        <v>561</v>
      </c>
      <c r="K4" s="181">
        <v>2019</v>
      </c>
      <c r="L4" s="178" t="s">
        <v>9186</v>
      </c>
      <c r="M4" s="182"/>
      <c r="N4" s="208" t="s">
        <v>9518</v>
      </c>
    </row>
    <row r="5" spans="1:14" ht="20.100000000000001" customHeight="1">
      <c r="A5" s="194">
        <v>120</v>
      </c>
      <c r="B5" s="178" t="s">
        <v>5413</v>
      </c>
      <c r="C5" s="178" t="s">
        <v>9515</v>
      </c>
      <c r="D5" s="179">
        <v>9781799802624</v>
      </c>
      <c r="E5" s="179">
        <v>9781799802617</v>
      </c>
      <c r="F5" s="180" t="s">
        <v>9523</v>
      </c>
      <c r="G5" s="181">
        <v>1</v>
      </c>
      <c r="H5" s="181">
        <v>1</v>
      </c>
      <c r="I5" s="178" t="s">
        <v>9524</v>
      </c>
      <c r="J5" s="178" t="s">
        <v>561</v>
      </c>
      <c r="K5" s="181">
        <v>2020</v>
      </c>
      <c r="L5" s="178" t="s">
        <v>9186</v>
      </c>
      <c r="M5" s="182"/>
      <c r="N5" s="208" t="s">
        <v>9525</v>
      </c>
    </row>
    <row r="6" spans="1:14" ht="20.100000000000001" customHeight="1">
      <c r="A6" s="194">
        <v>122</v>
      </c>
      <c r="B6" s="178" t="s">
        <v>5413</v>
      </c>
      <c r="C6" s="178" t="s">
        <v>9515</v>
      </c>
      <c r="D6" s="179">
        <v>9781799812050</v>
      </c>
      <c r="E6" s="179">
        <v>9781799812043</v>
      </c>
      <c r="F6" s="180" t="s">
        <v>9529</v>
      </c>
      <c r="G6" s="181">
        <v>1</v>
      </c>
      <c r="H6" s="181">
        <v>1</v>
      </c>
      <c r="I6" s="178" t="s">
        <v>3446</v>
      </c>
      <c r="J6" s="178" t="s">
        <v>561</v>
      </c>
      <c r="K6" s="181">
        <v>2020</v>
      </c>
      <c r="L6" s="178" t="s">
        <v>9186</v>
      </c>
      <c r="M6" s="183" t="s">
        <v>9530</v>
      </c>
      <c r="N6" s="208" t="s">
        <v>9531</v>
      </c>
    </row>
    <row r="7" spans="1:14" ht="20.100000000000001" customHeight="1">
      <c r="A7" s="194">
        <v>126</v>
      </c>
      <c r="B7" s="178" t="s">
        <v>5413</v>
      </c>
      <c r="C7" s="178" t="s">
        <v>9515</v>
      </c>
      <c r="D7" s="179">
        <v>9781799821021</v>
      </c>
      <c r="E7" s="179">
        <v>9781799821014</v>
      </c>
      <c r="F7" s="180" t="s">
        <v>9541</v>
      </c>
      <c r="G7" s="181">
        <v>1</v>
      </c>
      <c r="H7" s="181">
        <v>1</v>
      </c>
      <c r="I7" s="178" t="s">
        <v>9542</v>
      </c>
      <c r="J7" s="178" t="s">
        <v>561</v>
      </c>
      <c r="K7" s="181">
        <v>2020</v>
      </c>
      <c r="L7" s="178" t="s">
        <v>9186</v>
      </c>
      <c r="M7" s="182"/>
      <c r="N7" s="208" t="s">
        <v>9543</v>
      </c>
    </row>
    <row r="8" spans="1:14" ht="20.100000000000001" customHeight="1">
      <c r="A8" s="194">
        <v>127</v>
      </c>
      <c r="B8" s="178" t="s">
        <v>5413</v>
      </c>
      <c r="C8" s="178" t="s">
        <v>9515</v>
      </c>
      <c r="D8" s="179">
        <v>9781799825227</v>
      </c>
      <c r="E8" s="179">
        <v>9781799825210</v>
      </c>
      <c r="F8" s="180" t="s">
        <v>9544</v>
      </c>
      <c r="G8" s="181">
        <v>1</v>
      </c>
      <c r="H8" s="181">
        <v>1</v>
      </c>
      <c r="I8" s="178" t="s">
        <v>9545</v>
      </c>
      <c r="J8" s="178" t="s">
        <v>561</v>
      </c>
      <c r="K8" s="181">
        <v>2020</v>
      </c>
      <c r="L8" s="178" t="s">
        <v>9186</v>
      </c>
      <c r="M8" s="182"/>
      <c r="N8" s="208" t="s">
        <v>9546</v>
      </c>
    </row>
    <row r="9" spans="1:14" ht="20.100000000000001" customHeight="1">
      <c r="A9" s="194">
        <v>128</v>
      </c>
      <c r="B9" s="178" t="s">
        <v>5413</v>
      </c>
      <c r="C9" s="178" t="s">
        <v>9515</v>
      </c>
      <c r="D9" s="179">
        <v>9781799821229</v>
      </c>
      <c r="E9" s="179">
        <v>9781799821205</v>
      </c>
      <c r="F9" s="180" t="s">
        <v>9547</v>
      </c>
      <c r="G9" s="181">
        <v>1</v>
      </c>
      <c r="H9" s="181">
        <v>1</v>
      </c>
      <c r="I9" s="178" t="s">
        <v>9548</v>
      </c>
      <c r="J9" s="178" t="s">
        <v>561</v>
      </c>
      <c r="K9" s="181">
        <v>2020</v>
      </c>
      <c r="L9" s="178" t="s">
        <v>9186</v>
      </c>
      <c r="M9" s="182"/>
      <c r="N9" s="208" t="s">
        <v>9549</v>
      </c>
    </row>
    <row r="10" spans="1:14" ht="20.100000000000001" customHeight="1">
      <c r="A10" s="194">
        <v>130</v>
      </c>
      <c r="B10" s="178" t="s">
        <v>5413</v>
      </c>
      <c r="C10" s="178" t="s">
        <v>9515</v>
      </c>
      <c r="D10" s="179">
        <v>9781799825821</v>
      </c>
      <c r="E10" s="179">
        <v>9781799825814</v>
      </c>
      <c r="F10" s="180" t="s">
        <v>9553</v>
      </c>
      <c r="G10" s="181">
        <v>1</v>
      </c>
      <c r="H10" s="181">
        <v>1</v>
      </c>
      <c r="I10" s="178" t="s">
        <v>9554</v>
      </c>
      <c r="J10" s="178" t="s">
        <v>561</v>
      </c>
      <c r="K10" s="181">
        <v>2020</v>
      </c>
      <c r="L10" s="178" t="s">
        <v>9186</v>
      </c>
      <c r="M10" s="182"/>
      <c r="N10" s="208" t="s">
        <v>9555</v>
      </c>
    </row>
    <row r="11" spans="1:14" ht="20.100000000000001" customHeight="1">
      <c r="A11" s="194">
        <v>133</v>
      </c>
      <c r="B11" s="178" t="s">
        <v>5413</v>
      </c>
      <c r="C11" s="178" t="s">
        <v>9515</v>
      </c>
      <c r="D11" s="179">
        <v>9781799827436</v>
      </c>
      <c r="E11" s="179">
        <v>9781799827429</v>
      </c>
      <c r="F11" s="180" t="s">
        <v>9563</v>
      </c>
      <c r="G11" s="181">
        <v>1</v>
      </c>
      <c r="H11" s="181">
        <v>1</v>
      </c>
      <c r="I11" s="178" t="s">
        <v>9564</v>
      </c>
      <c r="J11" s="178" t="s">
        <v>561</v>
      </c>
      <c r="K11" s="181">
        <v>2021</v>
      </c>
      <c r="L11" s="178" t="s">
        <v>9186</v>
      </c>
      <c r="M11" s="182"/>
      <c r="N11" s="208" t="s">
        <v>9565</v>
      </c>
    </row>
    <row r="12" spans="1:14" ht="20.100000000000001" customHeight="1">
      <c r="A12" s="194">
        <v>140</v>
      </c>
      <c r="B12" s="178" t="s">
        <v>5413</v>
      </c>
      <c r="C12" s="178" t="s">
        <v>9515</v>
      </c>
      <c r="D12" s="179">
        <v>9781799865285</v>
      </c>
      <c r="E12" s="179">
        <v>9781799865278</v>
      </c>
      <c r="F12" s="180" t="s">
        <v>9584</v>
      </c>
      <c r="G12" s="181">
        <v>1</v>
      </c>
      <c r="H12" s="181">
        <v>1</v>
      </c>
      <c r="I12" s="178" t="s">
        <v>9585</v>
      </c>
      <c r="J12" s="178" t="s">
        <v>561</v>
      </c>
      <c r="K12" s="181">
        <v>2021</v>
      </c>
      <c r="L12" s="178" t="s">
        <v>9186</v>
      </c>
      <c r="M12" s="182"/>
      <c r="N12" s="208" t="s">
        <v>9586</v>
      </c>
    </row>
    <row r="13" spans="1:14" ht="20.100000000000001" customHeight="1">
      <c r="A13" s="194">
        <v>141</v>
      </c>
      <c r="B13" s="178" t="s">
        <v>5413</v>
      </c>
      <c r="C13" s="178" t="s">
        <v>9587</v>
      </c>
      <c r="D13" s="179">
        <v>9781799865315</v>
      </c>
      <c r="E13" s="179">
        <v>9781799865308</v>
      </c>
      <c r="F13" s="180" t="s">
        <v>9588</v>
      </c>
      <c r="G13" s="181">
        <v>1</v>
      </c>
      <c r="H13" s="181">
        <v>1</v>
      </c>
      <c r="I13" s="178" t="s">
        <v>9589</v>
      </c>
      <c r="J13" s="178" t="s">
        <v>561</v>
      </c>
      <c r="K13" s="181">
        <v>2021</v>
      </c>
      <c r="L13" s="178" t="s">
        <v>9186</v>
      </c>
      <c r="M13" s="182"/>
      <c r="N13" s="208" t="s">
        <v>9590</v>
      </c>
    </row>
    <row r="14" spans="1:14" ht="20.100000000000001" customHeight="1">
      <c r="A14" s="194">
        <v>121</v>
      </c>
      <c r="B14" s="178" t="s">
        <v>5413</v>
      </c>
      <c r="C14" s="178" t="s">
        <v>9526</v>
      </c>
      <c r="D14" s="179">
        <v>9781799816812</v>
      </c>
      <c r="E14" s="179">
        <v>9781799816805</v>
      </c>
      <c r="F14" s="180" t="s">
        <v>9527</v>
      </c>
      <c r="G14" s="181">
        <v>1</v>
      </c>
      <c r="H14" s="181">
        <v>1</v>
      </c>
      <c r="I14" s="178" t="s">
        <v>3446</v>
      </c>
      <c r="J14" s="178" t="s">
        <v>561</v>
      </c>
      <c r="K14" s="181">
        <v>2020</v>
      </c>
      <c r="L14" s="178" t="s">
        <v>9186</v>
      </c>
      <c r="M14" s="182"/>
      <c r="N14" s="208" t="s">
        <v>9528</v>
      </c>
    </row>
    <row r="15" spans="1:14" ht="20.100000000000001" customHeight="1">
      <c r="A15" s="194">
        <v>142</v>
      </c>
      <c r="B15" s="178" t="s">
        <v>5413</v>
      </c>
      <c r="C15" s="178" t="s">
        <v>9591</v>
      </c>
      <c r="D15" s="179">
        <v>9781799854968</v>
      </c>
      <c r="E15" s="179">
        <v>9781799854951</v>
      </c>
      <c r="F15" s="180" t="s">
        <v>9592</v>
      </c>
      <c r="G15" s="181">
        <v>1</v>
      </c>
      <c r="H15" s="181">
        <v>1</v>
      </c>
      <c r="I15" s="178" t="s">
        <v>7043</v>
      </c>
      <c r="J15" s="178" t="s">
        <v>561</v>
      </c>
      <c r="K15" s="181">
        <v>2021</v>
      </c>
      <c r="L15" s="178" t="s">
        <v>9186</v>
      </c>
      <c r="M15" s="182"/>
      <c r="N15" s="208" t="s">
        <v>9593</v>
      </c>
    </row>
    <row r="16" spans="1:14" ht="20.100000000000001" customHeight="1">
      <c r="A16" s="194">
        <v>143</v>
      </c>
      <c r="B16" s="178" t="s">
        <v>5413</v>
      </c>
      <c r="C16" s="178" t="s">
        <v>9594</v>
      </c>
      <c r="D16" s="179">
        <v>9781799856047</v>
      </c>
      <c r="E16" s="179">
        <v>9781799856030</v>
      </c>
      <c r="F16" s="180" t="s">
        <v>9595</v>
      </c>
      <c r="G16" s="181">
        <v>1</v>
      </c>
      <c r="H16" s="181">
        <v>1</v>
      </c>
      <c r="I16" s="178" t="s">
        <v>9596</v>
      </c>
      <c r="J16" s="178" t="s">
        <v>561</v>
      </c>
      <c r="K16" s="181">
        <v>2021</v>
      </c>
      <c r="L16" s="178" t="s">
        <v>9186</v>
      </c>
      <c r="M16" s="182"/>
      <c r="N16" s="208" t="s">
        <v>9597</v>
      </c>
    </row>
    <row r="17" spans="1:14" ht="20.100000000000001" customHeight="1">
      <c r="A17" s="194">
        <v>134</v>
      </c>
      <c r="B17" s="178" t="s">
        <v>5413</v>
      </c>
      <c r="C17" s="178" t="s">
        <v>9566</v>
      </c>
      <c r="D17" s="179">
        <v>9781799832553</v>
      </c>
      <c r="E17" s="179">
        <v>9781799832546</v>
      </c>
      <c r="F17" s="180" t="s">
        <v>9567</v>
      </c>
      <c r="G17" s="181">
        <v>1</v>
      </c>
      <c r="H17" s="181">
        <v>1</v>
      </c>
      <c r="I17" s="178" t="s">
        <v>7267</v>
      </c>
      <c r="J17" s="178" t="s">
        <v>561</v>
      </c>
      <c r="K17" s="181">
        <v>2021</v>
      </c>
      <c r="L17" s="178" t="s">
        <v>9186</v>
      </c>
      <c r="M17" s="182"/>
      <c r="N17" s="208" t="s">
        <v>9568</v>
      </c>
    </row>
    <row r="18" spans="1:14" ht="20.100000000000001" customHeight="1">
      <c r="A18" s="194">
        <v>136</v>
      </c>
      <c r="B18" s="178" t="s">
        <v>5413</v>
      </c>
      <c r="C18" s="178" t="s">
        <v>9566</v>
      </c>
      <c r="D18" s="179">
        <v>9781799834335</v>
      </c>
      <c r="E18" s="179">
        <v>9781799834328</v>
      </c>
      <c r="F18" s="180" t="s">
        <v>9573</v>
      </c>
      <c r="G18" s="181">
        <v>1</v>
      </c>
      <c r="H18" s="181">
        <v>1</v>
      </c>
      <c r="I18" s="178" t="s">
        <v>3446</v>
      </c>
      <c r="J18" s="178" t="s">
        <v>561</v>
      </c>
      <c r="K18" s="181">
        <v>2021</v>
      </c>
      <c r="L18" s="178" t="s">
        <v>9186</v>
      </c>
      <c r="M18" s="183" t="s">
        <v>9530</v>
      </c>
      <c r="N18" s="208" t="s">
        <v>9574</v>
      </c>
    </row>
    <row r="19" spans="1:14" ht="20.100000000000001" customHeight="1">
      <c r="A19" s="194">
        <v>117</v>
      </c>
      <c r="B19" s="178" t="s">
        <v>5413</v>
      </c>
      <c r="C19" s="178" t="s">
        <v>9511</v>
      </c>
      <c r="D19" s="179">
        <v>9781522562443</v>
      </c>
      <c r="E19" s="179">
        <v>9781522562436</v>
      </c>
      <c r="F19" s="180" t="s">
        <v>9512</v>
      </c>
      <c r="G19" s="181">
        <v>1</v>
      </c>
      <c r="H19" s="181">
        <v>1</v>
      </c>
      <c r="I19" s="178" t="s">
        <v>9513</v>
      </c>
      <c r="J19" s="178" t="s">
        <v>561</v>
      </c>
      <c r="K19" s="181">
        <v>2019</v>
      </c>
      <c r="L19" s="178" t="s">
        <v>9186</v>
      </c>
      <c r="M19" s="182"/>
      <c r="N19" s="208" t="s">
        <v>9514</v>
      </c>
    </row>
    <row r="20" spans="1:14" ht="20.100000000000001" customHeight="1">
      <c r="A20" s="194">
        <v>131</v>
      </c>
      <c r="B20" s="178" t="s">
        <v>5413</v>
      </c>
      <c r="C20" s="178" t="s">
        <v>9556</v>
      </c>
      <c r="D20" s="179">
        <v>9781799813217</v>
      </c>
      <c r="E20" s="179">
        <v>9781799813200</v>
      </c>
      <c r="F20" s="180" t="s">
        <v>9557</v>
      </c>
      <c r="G20" s="181">
        <v>1</v>
      </c>
      <c r="H20" s="181">
        <v>1</v>
      </c>
      <c r="I20" s="178" t="s">
        <v>9558</v>
      </c>
      <c r="J20" s="178" t="s">
        <v>561</v>
      </c>
      <c r="K20" s="181">
        <v>2020</v>
      </c>
      <c r="L20" s="178" t="s">
        <v>9186</v>
      </c>
      <c r="M20" s="182"/>
      <c r="N20" s="208" t="s">
        <v>9559</v>
      </c>
    </row>
    <row r="21" spans="1:14" ht="20.100000000000001" customHeight="1">
      <c r="A21" s="194">
        <v>139</v>
      </c>
      <c r="B21" s="178" t="s">
        <v>5413</v>
      </c>
      <c r="C21" s="178" t="s">
        <v>9556</v>
      </c>
      <c r="D21" s="179">
        <v>9781799848097</v>
      </c>
      <c r="E21" s="179">
        <v>9781799848080</v>
      </c>
      <c r="F21" s="180" t="s">
        <v>9581</v>
      </c>
      <c r="G21" s="181">
        <v>1</v>
      </c>
      <c r="H21" s="181">
        <v>1</v>
      </c>
      <c r="I21" s="178" t="s">
        <v>9582</v>
      </c>
      <c r="J21" s="178" t="s">
        <v>561</v>
      </c>
      <c r="K21" s="181">
        <v>2021</v>
      </c>
      <c r="L21" s="178" t="s">
        <v>9186</v>
      </c>
      <c r="M21" s="182"/>
      <c r="N21" s="208" t="s">
        <v>9583</v>
      </c>
    </row>
    <row r="22" spans="1:14" ht="20.100000000000001" customHeight="1">
      <c r="A22" s="194">
        <v>119</v>
      </c>
      <c r="B22" s="178" t="s">
        <v>5413</v>
      </c>
      <c r="C22" s="178" t="s">
        <v>9519</v>
      </c>
      <c r="D22" s="179">
        <v>9781522590064</v>
      </c>
      <c r="E22" s="179">
        <v>9781522590040</v>
      </c>
      <c r="F22" s="180" t="s">
        <v>9520</v>
      </c>
      <c r="G22" s="181">
        <v>1</v>
      </c>
      <c r="H22" s="181">
        <v>1</v>
      </c>
      <c r="I22" s="178" t="s">
        <v>9521</v>
      </c>
      <c r="J22" s="178" t="s">
        <v>1233</v>
      </c>
      <c r="K22" s="181">
        <v>2020</v>
      </c>
      <c r="L22" s="178" t="s">
        <v>9186</v>
      </c>
      <c r="M22" s="182"/>
      <c r="N22" s="208" t="s">
        <v>9522</v>
      </c>
    </row>
    <row r="23" spans="1:14" ht="20.100000000000001" customHeight="1">
      <c r="A23" s="194">
        <v>124</v>
      </c>
      <c r="B23" s="178" t="s">
        <v>5413</v>
      </c>
      <c r="C23" s="178" t="s">
        <v>9519</v>
      </c>
      <c r="D23" s="179">
        <v>9781799817246</v>
      </c>
      <c r="E23" s="179">
        <v>9781799817222</v>
      </c>
      <c r="F23" s="180" t="s">
        <v>9536</v>
      </c>
      <c r="G23" s="181">
        <v>1</v>
      </c>
      <c r="H23" s="181">
        <v>1</v>
      </c>
      <c r="I23" s="178" t="s">
        <v>7067</v>
      </c>
      <c r="J23" s="178" t="s">
        <v>1233</v>
      </c>
      <c r="K23" s="181">
        <v>2021</v>
      </c>
      <c r="L23" s="178" t="s">
        <v>9186</v>
      </c>
      <c r="M23" s="182"/>
      <c r="N23" s="208" t="s">
        <v>9537</v>
      </c>
    </row>
    <row r="24" spans="1:14" ht="20.100000000000001" customHeight="1">
      <c r="A24" s="194">
        <v>137</v>
      </c>
      <c r="B24" s="178" t="s">
        <v>5413</v>
      </c>
      <c r="C24" s="178" t="s">
        <v>9519</v>
      </c>
      <c r="D24" s="179">
        <v>9781799850014</v>
      </c>
      <c r="E24" s="179">
        <v>9781799850007</v>
      </c>
      <c r="F24" s="180" t="s">
        <v>9575</v>
      </c>
      <c r="G24" s="181">
        <v>1</v>
      </c>
      <c r="H24" s="181">
        <v>1</v>
      </c>
      <c r="I24" s="178" t="s">
        <v>9576</v>
      </c>
      <c r="J24" s="178" t="s">
        <v>1233</v>
      </c>
      <c r="K24" s="181">
        <v>2021</v>
      </c>
      <c r="L24" s="178" t="s">
        <v>9186</v>
      </c>
      <c r="M24" s="182"/>
      <c r="N24" s="208" t="s">
        <v>9577</v>
      </c>
    </row>
    <row r="25" spans="1:14" ht="20.100000000000001" customHeight="1">
      <c r="A25" s="194">
        <v>138</v>
      </c>
      <c r="B25" s="178" t="s">
        <v>5413</v>
      </c>
      <c r="C25" s="178" t="s">
        <v>9519</v>
      </c>
      <c r="D25" s="179">
        <v>9781799843139</v>
      </c>
      <c r="E25" s="179">
        <v>9781799843122</v>
      </c>
      <c r="F25" s="180" t="s">
        <v>9578</v>
      </c>
      <c r="G25" s="181">
        <v>1</v>
      </c>
      <c r="H25" s="181">
        <v>1</v>
      </c>
      <c r="I25" s="178" t="s">
        <v>9579</v>
      </c>
      <c r="J25" s="178" t="s">
        <v>1233</v>
      </c>
      <c r="K25" s="181">
        <v>2021</v>
      </c>
      <c r="L25" s="178" t="s">
        <v>9186</v>
      </c>
      <c r="M25" s="182"/>
      <c r="N25" s="208" t="s">
        <v>9580</v>
      </c>
    </row>
    <row r="26" spans="1:14" ht="20.100000000000001" customHeight="1">
      <c r="A26" s="194">
        <v>150</v>
      </c>
      <c r="B26" s="178" t="s">
        <v>571</v>
      </c>
      <c r="C26" s="178" t="s">
        <v>9614</v>
      </c>
      <c r="D26" s="179">
        <v>9781522582366</v>
      </c>
      <c r="E26" s="179">
        <v>9781522582359</v>
      </c>
      <c r="F26" s="180" t="s">
        <v>9615</v>
      </c>
      <c r="G26" s="181">
        <v>1</v>
      </c>
      <c r="H26" s="181">
        <v>1</v>
      </c>
      <c r="I26" s="178" t="s">
        <v>9616</v>
      </c>
      <c r="J26" s="178" t="s">
        <v>1233</v>
      </c>
      <c r="K26" s="181">
        <v>2019</v>
      </c>
      <c r="L26" s="178" t="s">
        <v>9186</v>
      </c>
      <c r="M26" s="182"/>
      <c r="N26" s="208" t="s">
        <v>9617</v>
      </c>
    </row>
    <row r="27" spans="1:14" ht="20.100000000000001" customHeight="1">
      <c r="A27" s="194">
        <v>195</v>
      </c>
      <c r="B27" s="178" t="s">
        <v>571</v>
      </c>
      <c r="C27" s="178" t="s">
        <v>9614</v>
      </c>
      <c r="D27" s="179">
        <v>9781799835257</v>
      </c>
      <c r="E27" s="179">
        <v>9781799835233</v>
      </c>
      <c r="F27" s="180" t="s">
        <v>9747</v>
      </c>
      <c r="G27" s="181">
        <v>1</v>
      </c>
      <c r="H27" s="181">
        <v>1</v>
      </c>
      <c r="I27" s="178" t="s">
        <v>9748</v>
      </c>
      <c r="J27" s="178" t="s">
        <v>1233</v>
      </c>
      <c r="K27" s="181">
        <v>2021</v>
      </c>
      <c r="L27" s="178" t="s">
        <v>9186</v>
      </c>
      <c r="M27" s="182"/>
      <c r="N27" s="208" t="s">
        <v>9749</v>
      </c>
    </row>
    <row r="28" spans="1:14" ht="20.100000000000001" customHeight="1">
      <c r="A28" s="194">
        <v>222</v>
      </c>
      <c r="B28" s="178" t="s">
        <v>571</v>
      </c>
      <c r="C28" s="178" t="s">
        <v>9614</v>
      </c>
      <c r="D28" s="179">
        <v>9781799849407</v>
      </c>
      <c r="E28" s="179">
        <v>9781799849391</v>
      </c>
      <c r="F28" s="180" t="s">
        <v>9826</v>
      </c>
      <c r="G28" s="181">
        <v>1</v>
      </c>
      <c r="H28" s="181">
        <v>1</v>
      </c>
      <c r="I28" s="178" t="s">
        <v>9827</v>
      </c>
      <c r="J28" s="178" t="s">
        <v>1233</v>
      </c>
      <c r="K28" s="181">
        <v>2021</v>
      </c>
      <c r="L28" s="178" t="s">
        <v>9186</v>
      </c>
      <c r="M28" s="182"/>
      <c r="N28" s="208" t="s">
        <v>9828</v>
      </c>
    </row>
    <row r="29" spans="1:14" ht="20.100000000000001" customHeight="1">
      <c r="A29" s="194">
        <v>238</v>
      </c>
      <c r="B29" s="178" t="s">
        <v>571</v>
      </c>
      <c r="C29" s="178" t="s">
        <v>9870</v>
      </c>
      <c r="D29" s="179">
        <v>9781799857983</v>
      </c>
      <c r="E29" s="179">
        <v>9781799857969</v>
      </c>
      <c r="F29" s="180" t="s">
        <v>9871</v>
      </c>
      <c r="G29" s="181">
        <v>1</v>
      </c>
      <c r="H29" s="181">
        <v>1</v>
      </c>
      <c r="I29" s="178" t="s">
        <v>6810</v>
      </c>
      <c r="J29" s="178" t="s">
        <v>1233</v>
      </c>
      <c r="K29" s="181">
        <v>2021</v>
      </c>
      <c r="L29" s="178" t="s">
        <v>9186</v>
      </c>
      <c r="M29" s="183" t="s">
        <v>9193</v>
      </c>
      <c r="N29" s="208" t="s">
        <v>9872</v>
      </c>
    </row>
    <row r="30" spans="1:14" ht="20.100000000000001" customHeight="1">
      <c r="A30" s="194">
        <v>215</v>
      </c>
      <c r="B30" s="178" t="s">
        <v>571</v>
      </c>
      <c r="C30" s="178" t="s">
        <v>9806</v>
      </c>
      <c r="D30" s="179">
        <v>9781799848714</v>
      </c>
      <c r="E30" s="179">
        <v>9781799848707</v>
      </c>
      <c r="F30" s="180" t="s">
        <v>9807</v>
      </c>
      <c r="G30" s="181">
        <v>1</v>
      </c>
      <c r="H30" s="181">
        <v>1</v>
      </c>
      <c r="I30" s="178" t="s">
        <v>9808</v>
      </c>
      <c r="J30" s="178" t="s">
        <v>1233</v>
      </c>
      <c r="K30" s="181">
        <v>2021</v>
      </c>
      <c r="L30" s="178" t="s">
        <v>9186</v>
      </c>
      <c r="M30" s="182"/>
      <c r="N30" s="208" t="s">
        <v>9809</v>
      </c>
    </row>
    <row r="31" spans="1:14" ht="20.100000000000001" customHeight="1">
      <c r="A31" s="194">
        <v>233</v>
      </c>
      <c r="B31" s="178" t="s">
        <v>571</v>
      </c>
      <c r="C31" s="178" t="s">
        <v>9806</v>
      </c>
      <c r="D31" s="179">
        <v>9781799855651</v>
      </c>
      <c r="E31" s="179">
        <v>9781799855637</v>
      </c>
      <c r="F31" s="180" t="s">
        <v>9857</v>
      </c>
      <c r="G31" s="181">
        <v>1</v>
      </c>
      <c r="H31" s="181">
        <v>1</v>
      </c>
      <c r="I31" s="178" t="s">
        <v>9858</v>
      </c>
      <c r="J31" s="178" t="s">
        <v>1233</v>
      </c>
      <c r="K31" s="181">
        <v>2021</v>
      </c>
      <c r="L31" s="178" t="s">
        <v>9186</v>
      </c>
      <c r="M31" s="182"/>
      <c r="N31" s="208" t="s">
        <v>9859</v>
      </c>
    </row>
    <row r="32" spans="1:14" ht="20.100000000000001" customHeight="1">
      <c r="A32" s="194">
        <v>144</v>
      </c>
      <c r="B32" s="178" t="s">
        <v>571</v>
      </c>
      <c r="C32" s="178" t="s">
        <v>9598</v>
      </c>
      <c r="D32" s="179">
        <v>9781466694279</v>
      </c>
      <c r="E32" s="179">
        <v>9781466694262</v>
      </c>
      <c r="F32" s="180" t="s">
        <v>9599</v>
      </c>
      <c r="G32" s="181">
        <v>1</v>
      </c>
      <c r="H32" s="181">
        <v>1</v>
      </c>
      <c r="I32" s="178" t="s">
        <v>9600</v>
      </c>
      <c r="J32" s="178" t="s">
        <v>569</v>
      </c>
      <c r="K32" s="181">
        <v>2016</v>
      </c>
      <c r="L32" s="178" t="s">
        <v>9186</v>
      </c>
      <c r="M32" s="182"/>
      <c r="N32" s="208" t="s">
        <v>9601</v>
      </c>
    </row>
    <row r="33" spans="1:14" ht="20.100000000000001" customHeight="1">
      <c r="A33" s="194">
        <v>145</v>
      </c>
      <c r="B33" s="178" t="s">
        <v>571</v>
      </c>
      <c r="C33" s="178" t="s">
        <v>9598</v>
      </c>
      <c r="D33" s="179">
        <v>9781522506140</v>
      </c>
      <c r="E33" s="179">
        <v>9781522506133</v>
      </c>
      <c r="F33" s="180" t="s">
        <v>9602</v>
      </c>
      <c r="G33" s="181">
        <v>1</v>
      </c>
      <c r="H33" s="181">
        <v>1</v>
      </c>
      <c r="I33" s="178" t="s">
        <v>552</v>
      </c>
      <c r="J33" s="178" t="s">
        <v>569</v>
      </c>
      <c r="K33" s="181">
        <v>2017</v>
      </c>
      <c r="L33" s="178" t="s">
        <v>9186</v>
      </c>
      <c r="M33" s="182"/>
      <c r="N33" s="208" t="s">
        <v>9603</v>
      </c>
    </row>
    <row r="34" spans="1:14" ht="20.100000000000001" customHeight="1">
      <c r="A34" s="194">
        <v>147</v>
      </c>
      <c r="B34" s="178" t="s">
        <v>571</v>
      </c>
      <c r="C34" s="178" t="s">
        <v>9598</v>
      </c>
      <c r="D34" s="179">
        <v>9781522553151</v>
      </c>
      <c r="E34" s="179">
        <v>9781522553144</v>
      </c>
      <c r="F34" s="180" t="s">
        <v>9607</v>
      </c>
      <c r="G34" s="181">
        <v>1</v>
      </c>
      <c r="H34" s="181">
        <v>1</v>
      </c>
      <c r="I34" s="178" t="s">
        <v>2596</v>
      </c>
      <c r="J34" s="178" t="s">
        <v>1233</v>
      </c>
      <c r="K34" s="181">
        <v>2018</v>
      </c>
      <c r="L34" s="178" t="s">
        <v>9186</v>
      </c>
      <c r="M34" s="182"/>
      <c r="N34" s="208" t="s">
        <v>9608</v>
      </c>
    </row>
    <row r="35" spans="1:14" ht="20.100000000000001" customHeight="1">
      <c r="A35" s="194">
        <v>149</v>
      </c>
      <c r="B35" s="178" t="s">
        <v>571</v>
      </c>
      <c r="C35" s="178" t="s">
        <v>9598</v>
      </c>
      <c r="D35" s="179">
        <v>9781522575023</v>
      </c>
      <c r="E35" s="179">
        <v>9781522575016</v>
      </c>
      <c r="F35" s="180" t="s">
        <v>9612</v>
      </c>
      <c r="G35" s="181">
        <v>1</v>
      </c>
      <c r="H35" s="181">
        <v>1</v>
      </c>
      <c r="I35" s="178" t="s">
        <v>3446</v>
      </c>
      <c r="J35" s="178" t="s">
        <v>1233</v>
      </c>
      <c r="K35" s="181">
        <v>2019</v>
      </c>
      <c r="L35" s="178" t="s">
        <v>9186</v>
      </c>
      <c r="M35" s="183" t="s">
        <v>9530</v>
      </c>
      <c r="N35" s="208" t="s">
        <v>9613</v>
      </c>
    </row>
    <row r="36" spans="1:14" ht="20.100000000000001" customHeight="1">
      <c r="A36" s="194">
        <v>151</v>
      </c>
      <c r="B36" s="178" t="s">
        <v>571</v>
      </c>
      <c r="C36" s="178" t="s">
        <v>9598</v>
      </c>
      <c r="D36" s="179">
        <v>9781522571902</v>
      </c>
      <c r="E36" s="179">
        <v>9781522571896</v>
      </c>
      <c r="F36" s="180" t="s">
        <v>9618</v>
      </c>
      <c r="G36" s="181">
        <v>1</v>
      </c>
      <c r="H36" s="181">
        <v>1</v>
      </c>
      <c r="I36" s="178" t="s">
        <v>9619</v>
      </c>
      <c r="J36" s="178" t="s">
        <v>569</v>
      </c>
      <c r="K36" s="181">
        <v>2019</v>
      </c>
      <c r="L36" s="178" t="s">
        <v>9186</v>
      </c>
      <c r="M36" s="182"/>
      <c r="N36" s="208" t="s">
        <v>9620</v>
      </c>
    </row>
    <row r="37" spans="1:14" ht="20.100000000000001" customHeight="1">
      <c r="A37" s="194">
        <v>152</v>
      </c>
      <c r="B37" s="178" t="s">
        <v>571</v>
      </c>
      <c r="C37" s="178" t="s">
        <v>9598</v>
      </c>
      <c r="D37" s="179">
        <v>9781522585657</v>
      </c>
      <c r="E37" s="179">
        <v>9781522585633</v>
      </c>
      <c r="F37" s="180" t="s">
        <v>9621</v>
      </c>
      <c r="G37" s="181">
        <v>1</v>
      </c>
      <c r="H37" s="181">
        <v>1</v>
      </c>
      <c r="I37" s="178" t="s">
        <v>1069</v>
      </c>
      <c r="J37" s="178" t="s">
        <v>1233</v>
      </c>
      <c r="K37" s="181">
        <v>2019</v>
      </c>
      <c r="L37" s="178" t="s">
        <v>9186</v>
      </c>
      <c r="M37" s="182"/>
      <c r="N37" s="208" t="s">
        <v>9622</v>
      </c>
    </row>
    <row r="38" spans="1:14" ht="20.100000000000001" customHeight="1">
      <c r="A38" s="194">
        <v>153</v>
      </c>
      <c r="B38" s="178" t="s">
        <v>571</v>
      </c>
      <c r="C38" s="178" t="s">
        <v>9598</v>
      </c>
      <c r="D38" s="179">
        <v>9781522590712</v>
      </c>
      <c r="E38" s="179">
        <v>9781522590699</v>
      </c>
      <c r="F38" s="180" t="s">
        <v>9623</v>
      </c>
      <c r="G38" s="181">
        <v>1</v>
      </c>
      <c r="H38" s="181">
        <v>1</v>
      </c>
      <c r="I38" s="178" t="s">
        <v>1959</v>
      </c>
      <c r="J38" s="178" t="s">
        <v>1233</v>
      </c>
      <c r="K38" s="181">
        <v>2019</v>
      </c>
      <c r="L38" s="178" t="s">
        <v>9186</v>
      </c>
      <c r="M38" s="182"/>
      <c r="N38" s="208" t="s">
        <v>9624</v>
      </c>
    </row>
    <row r="39" spans="1:14" ht="20.100000000000001" customHeight="1">
      <c r="A39" s="194">
        <v>157</v>
      </c>
      <c r="B39" s="178" t="s">
        <v>571</v>
      </c>
      <c r="C39" s="178" t="s">
        <v>9598</v>
      </c>
      <c r="D39" s="179">
        <v>9781522592488</v>
      </c>
      <c r="E39" s="179">
        <v>9781522592464</v>
      </c>
      <c r="F39" s="180" t="s">
        <v>9634</v>
      </c>
      <c r="G39" s="181">
        <v>1</v>
      </c>
      <c r="H39" s="181">
        <v>1</v>
      </c>
      <c r="I39" s="178" t="s">
        <v>9635</v>
      </c>
      <c r="J39" s="178" t="s">
        <v>1233</v>
      </c>
      <c r="K39" s="181">
        <v>2019</v>
      </c>
      <c r="L39" s="178" t="s">
        <v>9186</v>
      </c>
      <c r="M39" s="182"/>
      <c r="N39" s="208" t="s">
        <v>9636</v>
      </c>
    </row>
    <row r="40" spans="1:14" ht="20.100000000000001" customHeight="1">
      <c r="A40" s="194">
        <v>158</v>
      </c>
      <c r="B40" s="178" t="s">
        <v>571</v>
      </c>
      <c r="C40" s="178" t="s">
        <v>9598</v>
      </c>
      <c r="D40" s="179">
        <v>9781799827382</v>
      </c>
      <c r="E40" s="179">
        <v>9781799827368</v>
      </c>
      <c r="F40" s="180" t="s">
        <v>9637</v>
      </c>
      <c r="G40" s="181">
        <v>1</v>
      </c>
      <c r="H40" s="181">
        <v>1</v>
      </c>
      <c r="I40" s="178" t="s">
        <v>9638</v>
      </c>
      <c r="J40" s="178" t="s">
        <v>1233</v>
      </c>
      <c r="K40" s="181">
        <v>2020</v>
      </c>
      <c r="L40" s="178" t="s">
        <v>9186</v>
      </c>
      <c r="M40" s="182"/>
      <c r="N40" s="208" t="s">
        <v>9639</v>
      </c>
    </row>
    <row r="41" spans="1:14" ht="20.100000000000001" customHeight="1">
      <c r="A41" s="194">
        <v>159</v>
      </c>
      <c r="B41" s="178" t="s">
        <v>571</v>
      </c>
      <c r="C41" s="178" t="s">
        <v>9598</v>
      </c>
      <c r="D41" s="179">
        <v>9781522596134</v>
      </c>
      <c r="E41" s="179">
        <v>9781522596110</v>
      </c>
      <c r="F41" s="180" t="s">
        <v>9640</v>
      </c>
      <c r="G41" s="181">
        <v>1</v>
      </c>
      <c r="H41" s="181">
        <v>1</v>
      </c>
      <c r="I41" s="178" t="s">
        <v>9641</v>
      </c>
      <c r="J41" s="178" t="s">
        <v>569</v>
      </c>
      <c r="K41" s="181">
        <v>2020</v>
      </c>
      <c r="L41" s="178" t="s">
        <v>9186</v>
      </c>
      <c r="M41" s="182"/>
      <c r="N41" s="208" t="s">
        <v>9642</v>
      </c>
    </row>
    <row r="42" spans="1:14" ht="20.100000000000001" customHeight="1">
      <c r="A42" s="194">
        <v>161</v>
      </c>
      <c r="B42" s="178" t="s">
        <v>571</v>
      </c>
      <c r="C42" s="178" t="s">
        <v>9598</v>
      </c>
      <c r="D42" s="179">
        <v>9781522599043</v>
      </c>
      <c r="E42" s="179">
        <v>9781522599029</v>
      </c>
      <c r="F42" s="180" t="s">
        <v>9647</v>
      </c>
      <c r="G42" s="181">
        <v>1</v>
      </c>
      <c r="H42" s="181">
        <v>1</v>
      </c>
      <c r="I42" s="178" t="s">
        <v>9648</v>
      </c>
      <c r="J42" s="178" t="s">
        <v>1233</v>
      </c>
      <c r="K42" s="181">
        <v>2020</v>
      </c>
      <c r="L42" s="178" t="s">
        <v>9186</v>
      </c>
      <c r="M42" s="182"/>
      <c r="N42" s="208" t="s">
        <v>9649</v>
      </c>
    </row>
    <row r="43" spans="1:14" ht="20.100000000000001" customHeight="1">
      <c r="A43" s="194">
        <v>163</v>
      </c>
      <c r="B43" s="178" t="s">
        <v>571</v>
      </c>
      <c r="C43" s="178" t="s">
        <v>9598</v>
      </c>
      <c r="D43" s="179">
        <v>9781522598671</v>
      </c>
      <c r="E43" s="179">
        <v>9781522598664</v>
      </c>
      <c r="F43" s="180" t="s">
        <v>9654</v>
      </c>
      <c r="G43" s="181">
        <v>1</v>
      </c>
      <c r="H43" s="181">
        <v>1</v>
      </c>
      <c r="I43" s="178" t="s">
        <v>3446</v>
      </c>
      <c r="J43" s="178" t="s">
        <v>569</v>
      </c>
      <c r="K43" s="181">
        <v>2020</v>
      </c>
      <c r="L43" s="178" t="s">
        <v>9186</v>
      </c>
      <c r="M43" s="183" t="s">
        <v>9655</v>
      </c>
      <c r="N43" s="208" t="s">
        <v>9656</v>
      </c>
    </row>
    <row r="44" spans="1:14" ht="20.100000000000001" customHeight="1">
      <c r="A44" s="194">
        <v>165</v>
      </c>
      <c r="B44" s="178" t="s">
        <v>571</v>
      </c>
      <c r="C44" s="178" t="s">
        <v>9598</v>
      </c>
      <c r="D44" s="179">
        <v>9781799804154</v>
      </c>
      <c r="E44" s="179">
        <v>9781799804147</v>
      </c>
      <c r="F44" s="180" t="s">
        <v>9661</v>
      </c>
      <c r="G44" s="181">
        <v>1</v>
      </c>
      <c r="H44" s="181">
        <v>1</v>
      </c>
      <c r="I44" s="178" t="s">
        <v>3446</v>
      </c>
      <c r="J44" s="178" t="s">
        <v>1233</v>
      </c>
      <c r="K44" s="181">
        <v>2020</v>
      </c>
      <c r="L44" s="178" t="s">
        <v>9186</v>
      </c>
      <c r="M44" s="183" t="s">
        <v>9655</v>
      </c>
      <c r="N44" s="208" t="s">
        <v>9662</v>
      </c>
    </row>
    <row r="45" spans="1:14" ht="20.100000000000001" customHeight="1">
      <c r="A45" s="194">
        <v>166</v>
      </c>
      <c r="B45" s="178" t="s">
        <v>571</v>
      </c>
      <c r="C45" s="178" t="s">
        <v>9598</v>
      </c>
      <c r="D45" s="179">
        <v>9781522599265</v>
      </c>
      <c r="E45" s="179">
        <v>9781522599241</v>
      </c>
      <c r="F45" s="180" t="s">
        <v>9663</v>
      </c>
      <c r="G45" s="181">
        <v>1</v>
      </c>
      <c r="H45" s="181">
        <v>1</v>
      </c>
      <c r="I45" s="178" t="s">
        <v>6649</v>
      </c>
      <c r="J45" s="178" t="s">
        <v>1233</v>
      </c>
      <c r="K45" s="181">
        <v>2020</v>
      </c>
      <c r="L45" s="178" t="s">
        <v>9186</v>
      </c>
      <c r="M45" s="182"/>
      <c r="N45" s="208" t="s">
        <v>9664</v>
      </c>
    </row>
    <row r="46" spans="1:14" ht="20.100000000000001" customHeight="1">
      <c r="A46" s="194">
        <v>171</v>
      </c>
      <c r="B46" s="178" t="s">
        <v>571</v>
      </c>
      <c r="C46" s="178" t="s">
        <v>9598</v>
      </c>
      <c r="D46" s="179">
        <v>9781799811619</v>
      </c>
      <c r="E46" s="179">
        <v>9781799811596</v>
      </c>
      <c r="F46" s="180" t="s">
        <v>9676</v>
      </c>
      <c r="G46" s="181">
        <v>1</v>
      </c>
      <c r="H46" s="181">
        <v>1</v>
      </c>
      <c r="I46" s="178" t="s">
        <v>9677</v>
      </c>
      <c r="J46" s="178" t="s">
        <v>1233</v>
      </c>
      <c r="K46" s="181">
        <v>2020</v>
      </c>
      <c r="L46" s="178" t="s">
        <v>9186</v>
      </c>
      <c r="M46" s="182"/>
      <c r="N46" s="208" t="s">
        <v>9678</v>
      </c>
    </row>
    <row r="47" spans="1:14" ht="20.100000000000001" customHeight="1">
      <c r="A47" s="194">
        <v>172</v>
      </c>
      <c r="B47" s="178" t="s">
        <v>571</v>
      </c>
      <c r="C47" s="178" t="s">
        <v>9598</v>
      </c>
      <c r="D47" s="179">
        <v>9781799812920</v>
      </c>
      <c r="E47" s="179">
        <v>9781799812906</v>
      </c>
      <c r="F47" s="180" t="s">
        <v>9679</v>
      </c>
      <c r="G47" s="181">
        <v>1</v>
      </c>
      <c r="H47" s="181">
        <v>1</v>
      </c>
      <c r="I47" s="178" t="s">
        <v>9680</v>
      </c>
      <c r="J47" s="178" t="s">
        <v>1233</v>
      </c>
      <c r="K47" s="181">
        <v>2020</v>
      </c>
      <c r="L47" s="178" t="s">
        <v>9186</v>
      </c>
      <c r="M47" s="182"/>
      <c r="N47" s="208" t="s">
        <v>9681</v>
      </c>
    </row>
    <row r="48" spans="1:14" ht="20.100000000000001" customHeight="1">
      <c r="A48" s="194">
        <v>173</v>
      </c>
      <c r="B48" s="178" t="s">
        <v>571</v>
      </c>
      <c r="C48" s="178" t="s">
        <v>9598</v>
      </c>
      <c r="D48" s="179">
        <v>9781522596455</v>
      </c>
      <c r="E48" s="179">
        <v>9781522596431</v>
      </c>
      <c r="F48" s="180" t="s">
        <v>9682</v>
      </c>
      <c r="G48" s="181">
        <v>1</v>
      </c>
      <c r="H48" s="181">
        <v>1</v>
      </c>
      <c r="I48" s="178" t="s">
        <v>8985</v>
      </c>
      <c r="J48" s="178" t="s">
        <v>1233</v>
      </c>
      <c r="K48" s="181">
        <v>2020</v>
      </c>
      <c r="L48" s="178" t="s">
        <v>9186</v>
      </c>
      <c r="M48" s="182"/>
      <c r="N48" s="208" t="s">
        <v>9683</v>
      </c>
    </row>
    <row r="49" spans="1:14" ht="20.100000000000001" customHeight="1">
      <c r="A49" s="194">
        <v>174</v>
      </c>
      <c r="B49" s="178" t="s">
        <v>571</v>
      </c>
      <c r="C49" s="178" t="s">
        <v>9598</v>
      </c>
      <c r="D49" s="179">
        <v>9781799818656</v>
      </c>
      <c r="E49" s="179">
        <v>9781799818632</v>
      </c>
      <c r="F49" s="180" t="s">
        <v>9684</v>
      </c>
      <c r="G49" s="181">
        <v>1</v>
      </c>
      <c r="H49" s="181">
        <v>1</v>
      </c>
      <c r="I49" s="178" t="s">
        <v>9685</v>
      </c>
      <c r="J49" s="178" t="s">
        <v>1233</v>
      </c>
      <c r="K49" s="181">
        <v>2020</v>
      </c>
      <c r="L49" s="178" t="s">
        <v>9186</v>
      </c>
      <c r="M49" s="182"/>
      <c r="N49" s="208" t="s">
        <v>9686</v>
      </c>
    </row>
    <row r="50" spans="1:14" ht="20.100000000000001" customHeight="1">
      <c r="A50" s="194">
        <v>175</v>
      </c>
      <c r="B50" s="178" t="s">
        <v>571</v>
      </c>
      <c r="C50" s="178" t="s">
        <v>9598</v>
      </c>
      <c r="D50" s="179">
        <v>9781799812555</v>
      </c>
      <c r="E50" s="179">
        <v>9781799812531</v>
      </c>
      <c r="F50" s="180" t="s">
        <v>9687</v>
      </c>
      <c r="G50" s="181">
        <v>1</v>
      </c>
      <c r="H50" s="181">
        <v>1</v>
      </c>
      <c r="I50" s="178" t="s">
        <v>9688</v>
      </c>
      <c r="J50" s="178" t="s">
        <v>1233</v>
      </c>
      <c r="K50" s="181">
        <v>2020</v>
      </c>
      <c r="L50" s="178" t="s">
        <v>9186</v>
      </c>
      <c r="M50" s="182"/>
      <c r="N50" s="208" t="s">
        <v>9689</v>
      </c>
    </row>
    <row r="51" spans="1:14" ht="20.100000000000001" customHeight="1">
      <c r="A51" s="194">
        <v>176</v>
      </c>
      <c r="B51" s="178" t="s">
        <v>571</v>
      </c>
      <c r="C51" s="178" t="s">
        <v>9598</v>
      </c>
      <c r="D51" s="179">
        <v>9781799817208</v>
      </c>
      <c r="E51" s="179">
        <v>9781799817185</v>
      </c>
      <c r="F51" s="180" t="s">
        <v>9690</v>
      </c>
      <c r="G51" s="181">
        <v>1</v>
      </c>
      <c r="H51" s="181">
        <v>1</v>
      </c>
      <c r="I51" s="178" t="s">
        <v>9691</v>
      </c>
      <c r="J51" s="178" t="s">
        <v>1233</v>
      </c>
      <c r="K51" s="181">
        <v>2020</v>
      </c>
      <c r="L51" s="178" t="s">
        <v>9186</v>
      </c>
      <c r="M51" s="182"/>
      <c r="N51" s="208" t="s">
        <v>9692</v>
      </c>
    </row>
    <row r="52" spans="1:14" ht="20.100000000000001" customHeight="1">
      <c r="A52" s="194">
        <v>177</v>
      </c>
      <c r="B52" s="178" t="s">
        <v>571</v>
      </c>
      <c r="C52" s="178" t="s">
        <v>9598</v>
      </c>
      <c r="D52" s="179">
        <v>9781799818410</v>
      </c>
      <c r="E52" s="179">
        <v>9781799818397</v>
      </c>
      <c r="F52" s="180" t="s">
        <v>9693</v>
      </c>
      <c r="G52" s="181">
        <v>1</v>
      </c>
      <c r="H52" s="181">
        <v>1</v>
      </c>
      <c r="I52" s="178" t="s">
        <v>9694</v>
      </c>
      <c r="J52" s="178" t="s">
        <v>1233</v>
      </c>
      <c r="K52" s="181">
        <v>2020</v>
      </c>
      <c r="L52" s="178" t="s">
        <v>9186</v>
      </c>
      <c r="M52" s="182"/>
      <c r="N52" s="208" t="s">
        <v>9695</v>
      </c>
    </row>
    <row r="53" spans="1:14" ht="20.100000000000001" customHeight="1">
      <c r="A53" s="194">
        <v>178</v>
      </c>
      <c r="B53" s="178" t="s">
        <v>571</v>
      </c>
      <c r="C53" s="178" t="s">
        <v>9598</v>
      </c>
      <c r="D53" s="179">
        <v>9781799829775</v>
      </c>
      <c r="E53" s="179">
        <v>9781799829751</v>
      </c>
      <c r="F53" s="180" t="s">
        <v>9696</v>
      </c>
      <c r="G53" s="181">
        <v>1</v>
      </c>
      <c r="H53" s="181">
        <v>1</v>
      </c>
      <c r="I53" s="178" t="s">
        <v>9697</v>
      </c>
      <c r="J53" s="178" t="s">
        <v>1233</v>
      </c>
      <c r="K53" s="181">
        <v>2020</v>
      </c>
      <c r="L53" s="178" t="s">
        <v>9186</v>
      </c>
      <c r="M53" s="182"/>
      <c r="N53" s="208" t="s">
        <v>9698</v>
      </c>
    </row>
    <row r="54" spans="1:14" ht="20.100000000000001" customHeight="1">
      <c r="A54" s="194">
        <v>179</v>
      </c>
      <c r="B54" s="178" t="s">
        <v>571</v>
      </c>
      <c r="C54" s="178" t="s">
        <v>9598</v>
      </c>
      <c r="D54" s="179">
        <v>9781799830405</v>
      </c>
      <c r="E54" s="179">
        <v>9781799830382</v>
      </c>
      <c r="F54" s="180" t="s">
        <v>9699</v>
      </c>
      <c r="G54" s="181">
        <v>1</v>
      </c>
      <c r="H54" s="181">
        <v>1</v>
      </c>
      <c r="I54" s="178" t="s">
        <v>9517</v>
      </c>
      <c r="J54" s="178" t="s">
        <v>1233</v>
      </c>
      <c r="K54" s="181">
        <v>2020</v>
      </c>
      <c r="L54" s="178" t="s">
        <v>9186</v>
      </c>
      <c r="M54" s="182"/>
      <c r="N54" s="208" t="s">
        <v>9700</v>
      </c>
    </row>
    <row r="55" spans="1:14" ht="20.100000000000001" customHeight="1">
      <c r="A55" s="194">
        <v>180</v>
      </c>
      <c r="B55" s="178" t="s">
        <v>571</v>
      </c>
      <c r="C55" s="178" t="s">
        <v>9598</v>
      </c>
      <c r="D55" s="179">
        <v>9781799824466</v>
      </c>
      <c r="E55" s="179">
        <v>9781799824442</v>
      </c>
      <c r="F55" s="180" t="s">
        <v>9701</v>
      </c>
      <c r="G55" s="181">
        <v>1</v>
      </c>
      <c r="H55" s="181">
        <v>1</v>
      </c>
      <c r="I55" s="178" t="s">
        <v>9702</v>
      </c>
      <c r="J55" s="178" t="s">
        <v>569</v>
      </c>
      <c r="K55" s="181">
        <v>2020</v>
      </c>
      <c r="L55" s="178" t="s">
        <v>9186</v>
      </c>
      <c r="M55" s="182"/>
      <c r="N55" s="208" t="s">
        <v>9703</v>
      </c>
    </row>
    <row r="56" spans="1:14" ht="20.100000000000001" customHeight="1">
      <c r="A56" s="194">
        <v>182</v>
      </c>
      <c r="B56" s="178" t="s">
        <v>571</v>
      </c>
      <c r="C56" s="178" t="s">
        <v>9598</v>
      </c>
      <c r="D56" s="179">
        <v>9781799821106</v>
      </c>
      <c r="E56" s="179">
        <v>9781799821083</v>
      </c>
      <c r="F56" s="180" t="s">
        <v>9707</v>
      </c>
      <c r="G56" s="181">
        <v>1</v>
      </c>
      <c r="H56" s="181">
        <v>1</v>
      </c>
      <c r="I56" s="178" t="s">
        <v>9708</v>
      </c>
      <c r="J56" s="178" t="s">
        <v>1233</v>
      </c>
      <c r="K56" s="181">
        <v>2021</v>
      </c>
      <c r="L56" s="178" t="s">
        <v>9186</v>
      </c>
      <c r="M56" s="182"/>
      <c r="N56" s="208" t="s">
        <v>9709</v>
      </c>
    </row>
    <row r="57" spans="1:14" ht="20.100000000000001" customHeight="1">
      <c r="A57" s="194">
        <v>183</v>
      </c>
      <c r="B57" s="178" t="s">
        <v>571</v>
      </c>
      <c r="C57" s="178" t="s">
        <v>9598</v>
      </c>
      <c r="D57" s="179">
        <v>9781799825685</v>
      </c>
      <c r="E57" s="179">
        <v>9781799825661</v>
      </c>
      <c r="F57" s="180" t="s">
        <v>9710</v>
      </c>
      <c r="G57" s="181">
        <v>1</v>
      </c>
      <c r="H57" s="181">
        <v>1</v>
      </c>
      <c r="I57" s="178" t="s">
        <v>9711</v>
      </c>
      <c r="J57" s="178" t="s">
        <v>1233</v>
      </c>
      <c r="K57" s="181">
        <v>2021</v>
      </c>
      <c r="L57" s="178" t="s">
        <v>9186</v>
      </c>
      <c r="M57" s="182"/>
      <c r="N57" s="208" t="s">
        <v>9712</v>
      </c>
    </row>
    <row r="58" spans="1:14" ht="20.100000000000001" customHeight="1">
      <c r="A58" s="194">
        <v>184</v>
      </c>
      <c r="B58" s="178" t="s">
        <v>571</v>
      </c>
      <c r="C58" s="178" t="s">
        <v>9598</v>
      </c>
      <c r="D58" s="179">
        <v>9781522598084</v>
      </c>
      <c r="E58" s="179">
        <v>9781522598060</v>
      </c>
      <c r="F58" s="180" t="s">
        <v>9713</v>
      </c>
      <c r="G58" s="181">
        <v>1</v>
      </c>
      <c r="H58" s="181">
        <v>1</v>
      </c>
      <c r="I58" s="178" t="s">
        <v>9714</v>
      </c>
      <c r="J58" s="178" t="s">
        <v>1233</v>
      </c>
      <c r="K58" s="181">
        <v>2020</v>
      </c>
      <c r="L58" s="178" t="s">
        <v>9186</v>
      </c>
      <c r="M58" s="182"/>
      <c r="N58" s="208" t="s">
        <v>9715</v>
      </c>
    </row>
    <row r="59" spans="1:14" ht="20.100000000000001" customHeight="1">
      <c r="A59" s="194">
        <v>185</v>
      </c>
      <c r="B59" s="178" t="s">
        <v>571</v>
      </c>
      <c r="C59" s="178" t="s">
        <v>9598</v>
      </c>
      <c r="D59" s="179">
        <v>9781799828051</v>
      </c>
      <c r="E59" s="179">
        <v>9781799828037</v>
      </c>
      <c r="F59" s="180" t="s">
        <v>9716</v>
      </c>
      <c r="G59" s="181">
        <v>1</v>
      </c>
      <c r="H59" s="181">
        <v>1</v>
      </c>
      <c r="I59" s="178" t="s">
        <v>9717</v>
      </c>
      <c r="J59" s="178" t="s">
        <v>1233</v>
      </c>
      <c r="K59" s="181">
        <v>2020</v>
      </c>
      <c r="L59" s="178" t="s">
        <v>9186</v>
      </c>
      <c r="M59" s="182"/>
      <c r="N59" s="208" t="s">
        <v>9718</v>
      </c>
    </row>
    <row r="60" spans="1:14" ht="20.100000000000001" customHeight="1">
      <c r="A60" s="194">
        <v>186</v>
      </c>
      <c r="B60" s="178" t="s">
        <v>571</v>
      </c>
      <c r="C60" s="178" t="s">
        <v>9598</v>
      </c>
      <c r="D60" s="179">
        <v>9781799830542</v>
      </c>
      <c r="E60" s="179">
        <v>9781799830535</v>
      </c>
      <c r="F60" s="180" t="s">
        <v>9719</v>
      </c>
      <c r="G60" s="181">
        <v>1</v>
      </c>
      <c r="H60" s="181">
        <v>1</v>
      </c>
      <c r="I60" s="178" t="s">
        <v>9720</v>
      </c>
      <c r="J60" s="178" t="s">
        <v>1233</v>
      </c>
      <c r="K60" s="181">
        <v>2021</v>
      </c>
      <c r="L60" s="178" t="s">
        <v>9186</v>
      </c>
      <c r="M60" s="182"/>
      <c r="N60" s="208" t="s">
        <v>9721</v>
      </c>
    </row>
    <row r="61" spans="1:14" ht="20.100000000000001" customHeight="1">
      <c r="A61" s="194">
        <v>188</v>
      </c>
      <c r="B61" s="178" t="s">
        <v>571</v>
      </c>
      <c r="C61" s="178" t="s">
        <v>9598</v>
      </c>
      <c r="D61" s="179">
        <v>9781799836261</v>
      </c>
      <c r="E61" s="179">
        <v>9781799836247</v>
      </c>
      <c r="F61" s="180" t="s">
        <v>9725</v>
      </c>
      <c r="G61" s="181">
        <v>1</v>
      </c>
      <c r="H61" s="181">
        <v>1</v>
      </c>
      <c r="I61" s="178" t="s">
        <v>9726</v>
      </c>
      <c r="J61" s="178" t="s">
        <v>1233</v>
      </c>
      <c r="K61" s="181">
        <v>2021</v>
      </c>
      <c r="L61" s="178" t="s">
        <v>9186</v>
      </c>
      <c r="M61" s="182"/>
      <c r="N61" s="208" t="s">
        <v>9727</v>
      </c>
    </row>
    <row r="62" spans="1:14" ht="20.100000000000001" customHeight="1">
      <c r="A62" s="194">
        <v>190</v>
      </c>
      <c r="B62" s="178" t="s">
        <v>571</v>
      </c>
      <c r="C62" s="178" t="s">
        <v>9598</v>
      </c>
      <c r="D62" s="179">
        <v>9781799836636</v>
      </c>
      <c r="E62" s="179">
        <v>9781799836612</v>
      </c>
      <c r="F62" s="180" t="s">
        <v>9732</v>
      </c>
      <c r="G62" s="181">
        <v>1</v>
      </c>
      <c r="H62" s="181">
        <v>1</v>
      </c>
      <c r="I62" s="178" t="s">
        <v>9733</v>
      </c>
      <c r="J62" s="178" t="s">
        <v>1233</v>
      </c>
      <c r="K62" s="181">
        <v>2021</v>
      </c>
      <c r="L62" s="178" t="s">
        <v>9186</v>
      </c>
      <c r="M62" s="182"/>
      <c r="N62" s="208" t="s">
        <v>9734</v>
      </c>
    </row>
    <row r="63" spans="1:14" ht="20.100000000000001" customHeight="1">
      <c r="A63" s="194">
        <v>191</v>
      </c>
      <c r="B63" s="178" t="s">
        <v>571</v>
      </c>
      <c r="C63" s="178" t="s">
        <v>9598</v>
      </c>
      <c r="D63" s="179">
        <v>9781799831136</v>
      </c>
      <c r="E63" s="179">
        <v>9781799831112</v>
      </c>
      <c r="F63" s="180" t="s">
        <v>9735</v>
      </c>
      <c r="G63" s="181">
        <v>1</v>
      </c>
      <c r="H63" s="181">
        <v>1</v>
      </c>
      <c r="I63" s="178" t="s">
        <v>9736</v>
      </c>
      <c r="J63" s="178" t="s">
        <v>1233</v>
      </c>
      <c r="K63" s="181">
        <v>2021</v>
      </c>
      <c r="L63" s="178" t="s">
        <v>9186</v>
      </c>
      <c r="M63" s="182"/>
      <c r="N63" s="208" t="s">
        <v>9737</v>
      </c>
    </row>
    <row r="64" spans="1:14" ht="20.100000000000001" customHeight="1">
      <c r="A64" s="194">
        <v>193</v>
      </c>
      <c r="B64" s="178" t="s">
        <v>571</v>
      </c>
      <c r="C64" s="178" t="s">
        <v>9598</v>
      </c>
      <c r="D64" s="179">
        <v>9781799826705</v>
      </c>
      <c r="E64" s="179">
        <v>9781799826682</v>
      </c>
      <c r="F64" s="180" t="s">
        <v>9741</v>
      </c>
      <c r="G64" s="181">
        <v>1</v>
      </c>
      <c r="H64" s="181">
        <v>1</v>
      </c>
      <c r="I64" s="178" t="s">
        <v>9742</v>
      </c>
      <c r="J64" s="178" t="s">
        <v>1233</v>
      </c>
      <c r="K64" s="181">
        <v>2020</v>
      </c>
      <c r="L64" s="178" t="s">
        <v>9186</v>
      </c>
      <c r="M64" s="182"/>
      <c r="N64" s="208" t="s">
        <v>9743</v>
      </c>
    </row>
    <row r="65" spans="1:14" ht="20.100000000000001" customHeight="1">
      <c r="A65" s="194">
        <v>194</v>
      </c>
      <c r="B65" s="178" t="s">
        <v>571</v>
      </c>
      <c r="C65" s="178" t="s">
        <v>9598</v>
      </c>
      <c r="D65" s="179">
        <v>9781799832409</v>
      </c>
      <c r="E65" s="179">
        <v>9781799832386</v>
      </c>
      <c r="F65" s="180" t="s">
        <v>9744</v>
      </c>
      <c r="G65" s="181">
        <v>1</v>
      </c>
      <c r="H65" s="181">
        <v>1</v>
      </c>
      <c r="I65" s="178" t="s">
        <v>9745</v>
      </c>
      <c r="J65" s="178" t="s">
        <v>1233</v>
      </c>
      <c r="K65" s="181">
        <v>2021</v>
      </c>
      <c r="L65" s="178" t="s">
        <v>9186</v>
      </c>
      <c r="M65" s="182"/>
      <c r="N65" s="208" t="s">
        <v>9746</v>
      </c>
    </row>
    <row r="66" spans="1:14" ht="20.100000000000001" customHeight="1">
      <c r="A66" s="194">
        <v>197</v>
      </c>
      <c r="B66" s="178" t="s">
        <v>571</v>
      </c>
      <c r="C66" s="178" t="s">
        <v>9598</v>
      </c>
      <c r="D66" s="179">
        <v>9781799827702</v>
      </c>
      <c r="E66" s="179">
        <v>9781799827689</v>
      </c>
      <c r="F66" s="180" t="s">
        <v>9753</v>
      </c>
      <c r="G66" s="181">
        <v>1</v>
      </c>
      <c r="H66" s="181">
        <v>1</v>
      </c>
      <c r="I66" s="178" t="s">
        <v>6262</v>
      </c>
      <c r="J66" s="178" t="s">
        <v>1233</v>
      </c>
      <c r="K66" s="181">
        <v>2020</v>
      </c>
      <c r="L66" s="178" t="s">
        <v>9186</v>
      </c>
      <c r="M66" s="182"/>
      <c r="N66" s="208" t="s">
        <v>9754</v>
      </c>
    </row>
    <row r="67" spans="1:14" ht="20.100000000000001" customHeight="1">
      <c r="A67" s="194">
        <v>198</v>
      </c>
      <c r="B67" s="178" t="s">
        <v>571</v>
      </c>
      <c r="C67" s="178" t="s">
        <v>9598</v>
      </c>
      <c r="D67" s="179">
        <v>9781799803034</v>
      </c>
      <c r="E67" s="179">
        <v>9781799803010</v>
      </c>
      <c r="F67" s="180" t="s">
        <v>9755</v>
      </c>
      <c r="G67" s="181">
        <v>1</v>
      </c>
      <c r="H67" s="181">
        <v>1</v>
      </c>
      <c r="I67" s="178" t="s">
        <v>9756</v>
      </c>
      <c r="J67" s="178" t="s">
        <v>1233</v>
      </c>
      <c r="K67" s="181">
        <v>2020</v>
      </c>
      <c r="L67" s="178" t="s">
        <v>9186</v>
      </c>
      <c r="M67" s="182"/>
      <c r="N67" s="208" t="s">
        <v>9757</v>
      </c>
    </row>
    <row r="68" spans="1:14" ht="20.100000000000001" customHeight="1">
      <c r="A68" s="194">
        <v>199</v>
      </c>
      <c r="B68" s="178" t="s">
        <v>571</v>
      </c>
      <c r="C68" s="178" t="s">
        <v>9598</v>
      </c>
      <c r="D68" s="179">
        <v>9781799847311</v>
      </c>
      <c r="E68" s="179">
        <v>9781799847304</v>
      </c>
      <c r="F68" s="180" t="s">
        <v>9758</v>
      </c>
      <c r="G68" s="181">
        <v>1</v>
      </c>
      <c r="H68" s="181">
        <v>1</v>
      </c>
      <c r="I68" s="178" t="s">
        <v>9759</v>
      </c>
      <c r="J68" s="178" t="s">
        <v>1233</v>
      </c>
      <c r="K68" s="181">
        <v>2021</v>
      </c>
      <c r="L68" s="178" t="s">
        <v>9186</v>
      </c>
      <c r="M68" s="182"/>
      <c r="N68" s="208" t="s">
        <v>9760</v>
      </c>
    </row>
    <row r="69" spans="1:14" ht="20.100000000000001" customHeight="1">
      <c r="A69" s="194">
        <v>201</v>
      </c>
      <c r="B69" s="178" t="s">
        <v>571</v>
      </c>
      <c r="C69" s="178" t="s">
        <v>9598</v>
      </c>
      <c r="D69" s="179">
        <v>9781799831327</v>
      </c>
      <c r="E69" s="179">
        <v>9781799831303</v>
      </c>
      <c r="F69" s="180" t="s">
        <v>9765</v>
      </c>
      <c r="G69" s="181">
        <v>1</v>
      </c>
      <c r="H69" s="181">
        <v>1</v>
      </c>
      <c r="I69" s="178" t="s">
        <v>9766</v>
      </c>
      <c r="J69" s="178" t="s">
        <v>569</v>
      </c>
      <c r="K69" s="181">
        <v>2020</v>
      </c>
      <c r="L69" s="178" t="s">
        <v>9186</v>
      </c>
      <c r="M69" s="182"/>
      <c r="N69" s="208" t="s">
        <v>9767</v>
      </c>
    </row>
    <row r="70" spans="1:14" ht="20.100000000000001" customHeight="1">
      <c r="A70" s="194">
        <v>202</v>
      </c>
      <c r="B70" s="178" t="s">
        <v>571</v>
      </c>
      <c r="C70" s="178" t="s">
        <v>9598</v>
      </c>
      <c r="D70" s="179">
        <v>9781799838180</v>
      </c>
      <c r="E70" s="179">
        <v>9781799838173</v>
      </c>
      <c r="F70" s="180" t="s">
        <v>9768</v>
      </c>
      <c r="G70" s="181">
        <v>1</v>
      </c>
      <c r="H70" s="181">
        <v>1</v>
      </c>
      <c r="I70" s="178" t="s">
        <v>440</v>
      </c>
      <c r="J70" s="178" t="s">
        <v>569</v>
      </c>
      <c r="K70" s="181">
        <v>2020</v>
      </c>
      <c r="L70" s="178" t="s">
        <v>9186</v>
      </c>
      <c r="M70" s="182"/>
      <c r="N70" s="208" t="s">
        <v>9769</v>
      </c>
    </row>
    <row r="71" spans="1:14" ht="20.100000000000001" customHeight="1">
      <c r="A71" s="194">
        <v>209</v>
      </c>
      <c r="B71" s="178" t="s">
        <v>571</v>
      </c>
      <c r="C71" s="178" t="s">
        <v>9598</v>
      </c>
      <c r="D71" s="179">
        <v>9781799842866</v>
      </c>
      <c r="E71" s="179">
        <v>9781799842859</v>
      </c>
      <c r="F71" s="180" t="s">
        <v>9789</v>
      </c>
      <c r="G71" s="181">
        <v>1</v>
      </c>
      <c r="H71" s="181">
        <v>1</v>
      </c>
      <c r="I71" s="178" t="s">
        <v>9790</v>
      </c>
      <c r="J71" s="178" t="s">
        <v>568</v>
      </c>
      <c r="K71" s="181">
        <v>2021</v>
      </c>
      <c r="L71" s="178" t="s">
        <v>9186</v>
      </c>
      <c r="M71" s="182"/>
      <c r="N71" s="208" t="s">
        <v>9791</v>
      </c>
    </row>
    <row r="72" spans="1:14" ht="20.100000000000001" customHeight="1">
      <c r="A72" s="194">
        <v>210</v>
      </c>
      <c r="B72" s="178" t="s">
        <v>571</v>
      </c>
      <c r="C72" s="178" t="s">
        <v>9598</v>
      </c>
      <c r="D72" s="179">
        <v>9781799843405</v>
      </c>
      <c r="E72" s="179">
        <v>9781799843399</v>
      </c>
      <c r="F72" s="180" t="s">
        <v>9792</v>
      </c>
      <c r="G72" s="181">
        <v>1</v>
      </c>
      <c r="H72" s="181">
        <v>1</v>
      </c>
      <c r="I72" s="178" t="s">
        <v>9793</v>
      </c>
      <c r="J72" s="178" t="s">
        <v>1233</v>
      </c>
      <c r="K72" s="181">
        <v>2021</v>
      </c>
      <c r="L72" s="178" t="s">
        <v>9186</v>
      </c>
      <c r="M72" s="182"/>
      <c r="N72" s="208" t="s">
        <v>9794</v>
      </c>
    </row>
    <row r="73" spans="1:14" ht="20.100000000000001" customHeight="1">
      <c r="A73" s="194">
        <v>211</v>
      </c>
      <c r="B73" s="178" t="s">
        <v>571</v>
      </c>
      <c r="C73" s="178" t="s">
        <v>9598</v>
      </c>
      <c r="D73" s="179">
        <v>9781799843825</v>
      </c>
      <c r="E73" s="179">
        <v>9781799843818</v>
      </c>
      <c r="F73" s="180" t="s">
        <v>9795</v>
      </c>
      <c r="G73" s="181">
        <v>1</v>
      </c>
      <c r="H73" s="181">
        <v>1</v>
      </c>
      <c r="I73" s="178" t="s">
        <v>9796</v>
      </c>
      <c r="J73" s="178" t="s">
        <v>1233</v>
      </c>
      <c r="K73" s="181">
        <v>2020</v>
      </c>
      <c r="L73" s="178" t="s">
        <v>9186</v>
      </c>
      <c r="M73" s="182"/>
      <c r="N73" s="208" t="s">
        <v>9797</v>
      </c>
    </row>
    <row r="74" spans="1:14" ht="20.100000000000001" customHeight="1">
      <c r="A74" s="194">
        <v>212</v>
      </c>
      <c r="B74" s="178" t="s">
        <v>571</v>
      </c>
      <c r="C74" s="178" t="s">
        <v>9598</v>
      </c>
      <c r="D74" s="179">
        <v>9781799847045</v>
      </c>
      <c r="E74" s="179">
        <v>9781799847038</v>
      </c>
      <c r="F74" s="180" t="s">
        <v>9798</v>
      </c>
      <c r="G74" s="181">
        <v>1</v>
      </c>
      <c r="H74" s="181">
        <v>1</v>
      </c>
      <c r="I74" s="178" t="s">
        <v>9087</v>
      </c>
      <c r="J74" s="178" t="s">
        <v>569</v>
      </c>
      <c r="K74" s="181">
        <v>2021</v>
      </c>
      <c r="L74" s="178" t="s">
        <v>9186</v>
      </c>
      <c r="M74" s="182"/>
      <c r="N74" s="208" t="s">
        <v>9799</v>
      </c>
    </row>
    <row r="75" spans="1:14" ht="20.100000000000001" customHeight="1">
      <c r="A75" s="194">
        <v>213</v>
      </c>
      <c r="B75" s="178" t="s">
        <v>571</v>
      </c>
      <c r="C75" s="178" t="s">
        <v>9598</v>
      </c>
      <c r="D75" s="179">
        <v>9781799847076</v>
      </c>
      <c r="E75" s="184">
        <v>9781799847069</v>
      </c>
      <c r="F75" s="180" t="s">
        <v>9800</v>
      </c>
      <c r="G75" s="181">
        <v>1</v>
      </c>
      <c r="H75" s="181">
        <v>1</v>
      </c>
      <c r="I75" s="178" t="s">
        <v>9801</v>
      </c>
      <c r="J75" s="178" t="s">
        <v>569</v>
      </c>
      <c r="K75" s="181">
        <v>2021</v>
      </c>
      <c r="L75" s="178" t="s">
        <v>9186</v>
      </c>
      <c r="M75" s="182"/>
      <c r="N75" s="208" t="s">
        <v>9802</v>
      </c>
    </row>
    <row r="76" spans="1:14" ht="20.100000000000001" customHeight="1">
      <c r="A76" s="194">
        <v>214</v>
      </c>
      <c r="B76" s="178" t="s">
        <v>571</v>
      </c>
      <c r="C76" s="178" t="s">
        <v>9598</v>
      </c>
      <c r="D76" s="179">
        <v>9781799847762</v>
      </c>
      <c r="E76" s="179">
        <v>9781799847755</v>
      </c>
      <c r="F76" s="180" t="s">
        <v>9803</v>
      </c>
      <c r="G76" s="181">
        <v>1</v>
      </c>
      <c r="H76" s="181">
        <v>1</v>
      </c>
      <c r="I76" s="178" t="s">
        <v>9804</v>
      </c>
      <c r="J76" s="178" t="s">
        <v>1233</v>
      </c>
      <c r="K76" s="181">
        <v>2021</v>
      </c>
      <c r="L76" s="178" t="s">
        <v>9186</v>
      </c>
      <c r="M76" s="182"/>
      <c r="N76" s="208" t="s">
        <v>9805</v>
      </c>
    </row>
    <row r="77" spans="1:14" ht="20.100000000000001" customHeight="1">
      <c r="A77" s="194">
        <v>217</v>
      </c>
      <c r="B77" s="178" t="s">
        <v>571</v>
      </c>
      <c r="C77" s="178" t="s">
        <v>9598</v>
      </c>
      <c r="D77" s="179">
        <v>9781799848868</v>
      </c>
      <c r="E77" s="179">
        <v>9781799848851</v>
      </c>
      <c r="F77" s="180" t="s">
        <v>9813</v>
      </c>
      <c r="G77" s="181">
        <v>1</v>
      </c>
      <c r="H77" s="181">
        <v>1</v>
      </c>
      <c r="I77" s="178" t="s">
        <v>9814</v>
      </c>
      <c r="J77" s="178" t="s">
        <v>1233</v>
      </c>
      <c r="K77" s="181">
        <v>2021</v>
      </c>
      <c r="L77" s="178" t="s">
        <v>9186</v>
      </c>
      <c r="M77" s="182"/>
      <c r="N77" s="208" t="s">
        <v>9815</v>
      </c>
    </row>
    <row r="78" spans="1:14" ht="20.100000000000001" customHeight="1">
      <c r="A78" s="194">
        <v>218</v>
      </c>
      <c r="B78" s="178" t="s">
        <v>571</v>
      </c>
      <c r="C78" s="178" t="s">
        <v>9598</v>
      </c>
      <c r="D78" s="179">
        <v>9781799848950</v>
      </c>
      <c r="E78" s="179">
        <v>9781799848943</v>
      </c>
      <c r="F78" s="180" t="s">
        <v>9816</v>
      </c>
      <c r="G78" s="181">
        <v>1</v>
      </c>
      <c r="H78" s="181">
        <v>1</v>
      </c>
      <c r="I78" s="178" t="s">
        <v>7370</v>
      </c>
      <c r="J78" s="178" t="s">
        <v>1233</v>
      </c>
      <c r="K78" s="181">
        <v>2021</v>
      </c>
      <c r="L78" s="178" t="s">
        <v>9186</v>
      </c>
      <c r="M78" s="182"/>
      <c r="N78" s="208" t="s">
        <v>9817</v>
      </c>
    </row>
    <row r="79" spans="1:14" ht="20.100000000000001" customHeight="1">
      <c r="A79" s="194">
        <v>219</v>
      </c>
      <c r="B79" s="178" t="s">
        <v>571</v>
      </c>
      <c r="C79" s="178" t="s">
        <v>9598</v>
      </c>
      <c r="D79" s="179">
        <v>9781799849018</v>
      </c>
      <c r="E79" s="179">
        <v>9781799849001</v>
      </c>
      <c r="F79" s="180" t="s">
        <v>9818</v>
      </c>
      <c r="G79" s="181">
        <v>1</v>
      </c>
      <c r="H79" s="181">
        <v>1</v>
      </c>
      <c r="I79" s="178" t="s">
        <v>9819</v>
      </c>
      <c r="J79" s="178" t="s">
        <v>1233</v>
      </c>
      <c r="K79" s="181">
        <v>2021</v>
      </c>
      <c r="L79" s="178" t="s">
        <v>9186</v>
      </c>
      <c r="M79" s="182"/>
      <c r="N79" s="208" t="s">
        <v>9820</v>
      </c>
    </row>
    <row r="80" spans="1:14" ht="20.100000000000001" customHeight="1">
      <c r="A80" s="194">
        <v>225</v>
      </c>
      <c r="B80" s="178" t="s">
        <v>571</v>
      </c>
      <c r="C80" s="178" t="s">
        <v>9598</v>
      </c>
      <c r="D80" s="179">
        <v>9781799858775</v>
      </c>
      <c r="E80" s="179">
        <v>9781799858768</v>
      </c>
      <c r="F80" s="180" t="s">
        <v>9835</v>
      </c>
      <c r="G80" s="181">
        <v>1</v>
      </c>
      <c r="H80" s="181">
        <v>1</v>
      </c>
      <c r="I80" s="178" t="s">
        <v>9836</v>
      </c>
      <c r="J80" s="178" t="s">
        <v>1233</v>
      </c>
      <c r="K80" s="181">
        <v>2021</v>
      </c>
      <c r="L80" s="178" t="s">
        <v>9186</v>
      </c>
      <c r="M80" s="182"/>
      <c r="N80" s="208" t="s">
        <v>9837</v>
      </c>
    </row>
    <row r="81" spans="1:14" ht="20.100000000000001" customHeight="1">
      <c r="A81" s="194">
        <v>226</v>
      </c>
      <c r="B81" s="178" t="s">
        <v>571</v>
      </c>
      <c r="C81" s="178" t="s">
        <v>9598</v>
      </c>
      <c r="D81" s="179">
        <v>9781799865247</v>
      </c>
      <c r="E81" s="179">
        <v>9781799865223</v>
      </c>
      <c r="F81" s="180" t="s">
        <v>9838</v>
      </c>
      <c r="G81" s="181">
        <v>1</v>
      </c>
      <c r="H81" s="181">
        <v>1</v>
      </c>
      <c r="I81" s="178" t="s">
        <v>6649</v>
      </c>
      <c r="J81" s="178" t="s">
        <v>1233</v>
      </c>
      <c r="K81" s="181">
        <v>2021</v>
      </c>
      <c r="L81" s="178" t="s">
        <v>9186</v>
      </c>
      <c r="M81" s="182"/>
      <c r="N81" s="208" t="s">
        <v>9839</v>
      </c>
    </row>
    <row r="82" spans="1:14" ht="20.100000000000001" customHeight="1">
      <c r="A82" s="194">
        <v>227</v>
      </c>
      <c r="B82" s="178" t="s">
        <v>571</v>
      </c>
      <c r="C82" s="178" t="s">
        <v>9598</v>
      </c>
      <c r="D82" s="179">
        <v>9781799875178</v>
      </c>
      <c r="E82" s="179">
        <v>9781799875116</v>
      </c>
      <c r="F82" s="180" t="s">
        <v>9840</v>
      </c>
      <c r="G82" s="181">
        <v>1</v>
      </c>
      <c r="H82" s="181">
        <v>1</v>
      </c>
      <c r="I82" s="178" t="s">
        <v>9841</v>
      </c>
      <c r="J82" s="178" t="s">
        <v>1233</v>
      </c>
      <c r="K82" s="181">
        <v>2021</v>
      </c>
      <c r="L82" s="178" t="s">
        <v>9186</v>
      </c>
      <c r="M82" s="182"/>
      <c r="N82" s="208" t="s">
        <v>9842</v>
      </c>
    </row>
    <row r="83" spans="1:14" ht="20.100000000000001" customHeight="1">
      <c r="A83" s="194">
        <v>228</v>
      </c>
      <c r="B83" s="178" t="s">
        <v>571</v>
      </c>
      <c r="C83" s="178" t="s">
        <v>9598</v>
      </c>
      <c r="D83" s="179">
        <v>9781799866619</v>
      </c>
      <c r="E83" s="179">
        <v>9781799866596</v>
      </c>
      <c r="F83" s="180" t="s">
        <v>9843</v>
      </c>
      <c r="G83" s="181">
        <v>1</v>
      </c>
      <c r="H83" s="181">
        <v>1</v>
      </c>
      <c r="I83" s="178" t="s">
        <v>9844</v>
      </c>
      <c r="J83" s="178" t="s">
        <v>1233</v>
      </c>
      <c r="K83" s="181">
        <v>2021</v>
      </c>
      <c r="L83" s="178" t="s">
        <v>9186</v>
      </c>
      <c r="M83" s="182"/>
      <c r="N83" s="208" t="s">
        <v>9845</v>
      </c>
    </row>
    <row r="84" spans="1:14" ht="20.100000000000001" customHeight="1">
      <c r="A84" s="194">
        <v>229</v>
      </c>
      <c r="B84" s="178" t="s">
        <v>571</v>
      </c>
      <c r="C84" s="178" t="s">
        <v>9598</v>
      </c>
      <c r="D84" s="179">
        <v>9781799866923</v>
      </c>
      <c r="E84" s="179">
        <v>9781799866909</v>
      </c>
      <c r="F84" s="180" t="s">
        <v>9846</v>
      </c>
      <c r="G84" s="181">
        <v>1</v>
      </c>
      <c r="H84" s="181">
        <v>1</v>
      </c>
      <c r="I84" s="178" t="s">
        <v>9847</v>
      </c>
      <c r="J84" s="178" t="s">
        <v>1233</v>
      </c>
      <c r="K84" s="181">
        <v>2021</v>
      </c>
      <c r="L84" s="178" t="s">
        <v>9186</v>
      </c>
      <c r="M84" s="182"/>
      <c r="N84" s="208" t="s">
        <v>9848</v>
      </c>
    </row>
    <row r="85" spans="1:14" ht="20.100000000000001" customHeight="1">
      <c r="A85" s="194">
        <v>231</v>
      </c>
      <c r="B85" s="178" t="s">
        <v>571</v>
      </c>
      <c r="C85" s="178" t="s">
        <v>9598</v>
      </c>
      <c r="D85" s="179">
        <v>9781799875543</v>
      </c>
      <c r="E85" s="179">
        <v>9781799875529</v>
      </c>
      <c r="F85" s="180" t="s">
        <v>9852</v>
      </c>
      <c r="G85" s="181">
        <v>1</v>
      </c>
      <c r="H85" s="181">
        <v>1</v>
      </c>
      <c r="I85" s="178" t="s">
        <v>9853</v>
      </c>
      <c r="J85" s="178" t="s">
        <v>1233</v>
      </c>
      <c r="K85" s="181">
        <v>2021</v>
      </c>
      <c r="L85" s="178" t="s">
        <v>9186</v>
      </c>
      <c r="M85" s="182"/>
      <c r="N85" s="208" t="s">
        <v>9854</v>
      </c>
    </row>
    <row r="86" spans="1:14" ht="20.100000000000001" customHeight="1">
      <c r="A86" s="194">
        <v>232</v>
      </c>
      <c r="B86" s="178" t="s">
        <v>571</v>
      </c>
      <c r="C86" s="178" t="s">
        <v>9598</v>
      </c>
      <c r="D86" s="179">
        <v>9781799857839</v>
      </c>
      <c r="E86" s="179">
        <v>9781799857815</v>
      </c>
      <c r="F86" s="180" t="s">
        <v>9855</v>
      </c>
      <c r="G86" s="181">
        <v>1</v>
      </c>
      <c r="H86" s="181">
        <v>1</v>
      </c>
      <c r="I86" s="178" t="s">
        <v>5208</v>
      </c>
      <c r="J86" s="178" t="s">
        <v>1233</v>
      </c>
      <c r="K86" s="181">
        <v>2021</v>
      </c>
      <c r="L86" s="178" t="s">
        <v>9186</v>
      </c>
      <c r="M86" s="182"/>
      <c r="N86" s="208" t="s">
        <v>9856</v>
      </c>
    </row>
    <row r="87" spans="1:14" ht="20.100000000000001" customHeight="1">
      <c r="A87" s="194">
        <v>236</v>
      </c>
      <c r="B87" s="178" t="s">
        <v>571</v>
      </c>
      <c r="C87" s="178" t="s">
        <v>9598</v>
      </c>
      <c r="D87" s="179">
        <v>9781799826514</v>
      </c>
      <c r="E87" s="179">
        <v>9781799826491</v>
      </c>
      <c r="F87" s="180" t="s">
        <v>9866</v>
      </c>
      <c r="G87" s="181">
        <v>1</v>
      </c>
      <c r="H87" s="181">
        <v>1</v>
      </c>
      <c r="I87" s="178" t="s">
        <v>9680</v>
      </c>
      <c r="J87" s="178" t="s">
        <v>1233</v>
      </c>
      <c r="K87" s="181">
        <v>2021</v>
      </c>
      <c r="L87" s="178" t="s">
        <v>9186</v>
      </c>
      <c r="M87" s="182"/>
      <c r="N87" s="208" t="s">
        <v>9867</v>
      </c>
    </row>
    <row r="88" spans="1:14" ht="20.100000000000001" customHeight="1">
      <c r="A88" s="194">
        <v>239</v>
      </c>
      <c r="B88" s="178" t="s">
        <v>571</v>
      </c>
      <c r="C88" s="178" t="s">
        <v>9598</v>
      </c>
      <c r="D88" s="179">
        <v>9781799857297</v>
      </c>
      <c r="E88" s="179">
        <v>9781799857280</v>
      </c>
      <c r="F88" s="180" t="s">
        <v>9873</v>
      </c>
      <c r="G88" s="181">
        <v>1</v>
      </c>
      <c r="H88" s="181">
        <v>1</v>
      </c>
      <c r="I88" s="178" t="s">
        <v>579</v>
      </c>
      <c r="J88" s="178" t="s">
        <v>569</v>
      </c>
      <c r="K88" s="181">
        <v>2021</v>
      </c>
      <c r="L88" s="178" t="s">
        <v>9186</v>
      </c>
      <c r="M88" s="183" t="s">
        <v>9193</v>
      </c>
      <c r="N88" s="208" t="s">
        <v>9874</v>
      </c>
    </row>
    <row r="89" spans="1:14" ht="20.100000000000001" customHeight="1">
      <c r="A89" s="194">
        <v>240</v>
      </c>
      <c r="B89" s="178" t="s">
        <v>571</v>
      </c>
      <c r="C89" s="178" t="s">
        <v>9598</v>
      </c>
      <c r="D89" s="179">
        <v>9781799834892</v>
      </c>
      <c r="E89" s="179">
        <v>9781799834878</v>
      </c>
      <c r="F89" s="180" t="s">
        <v>9875</v>
      </c>
      <c r="G89" s="181">
        <v>1</v>
      </c>
      <c r="H89" s="181">
        <v>1</v>
      </c>
      <c r="I89" s="178" t="s">
        <v>9876</v>
      </c>
      <c r="J89" s="178" t="s">
        <v>569</v>
      </c>
      <c r="K89" s="181">
        <v>2021</v>
      </c>
      <c r="L89" s="178" t="s">
        <v>9186</v>
      </c>
      <c r="M89" s="182"/>
      <c r="N89" s="208" t="s">
        <v>9877</v>
      </c>
    </row>
    <row r="90" spans="1:14" ht="20.100000000000001" customHeight="1">
      <c r="A90" s="195">
        <v>13</v>
      </c>
      <c r="B90" s="189" t="s">
        <v>571</v>
      </c>
      <c r="C90" s="189" t="s">
        <v>7467</v>
      </c>
      <c r="D90" s="190">
        <v>9781522574682</v>
      </c>
      <c r="E90" s="190">
        <v>9781522574675</v>
      </c>
      <c r="F90" s="191" t="s">
        <v>9909</v>
      </c>
      <c r="G90" s="192">
        <v>1</v>
      </c>
      <c r="H90" s="192">
        <v>1</v>
      </c>
      <c r="I90" s="189" t="s">
        <v>9910</v>
      </c>
      <c r="J90" s="189" t="s">
        <v>561</v>
      </c>
      <c r="K90" s="192">
        <v>2019</v>
      </c>
      <c r="L90" s="189" t="s">
        <v>7499</v>
      </c>
      <c r="M90" s="193"/>
      <c r="N90" s="209" t="s">
        <v>9911</v>
      </c>
    </row>
    <row r="91" spans="1:14" ht="20.100000000000001" customHeight="1">
      <c r="A91" s="194">
        <v>156</v>
      </c>
      <c r="B91" s="178" t="s">
        <v>571</v>
      </c>
      <c r="C91" s="178" t="s">
        <v>9630</v>
      </c>
      <c r="D91" s="179">
        <v>9781522592402</v>
      </c>
      <c r="E91" s="179">
        <v>9781522592389</v>
      </c>
      <c r="F91" s="180" t="s">
        <v>9631</v>
      </c>
      <c r="G91" s="181">
        <v>1</v>
      </c>
      <c r="H91" s="181">
        <v>1</v>
      </c>
      <c r="I91" s="178" t="s">
        <v>9632</v>
      </c>
      <c r="J91" s="178" t="s">
        <v>1233</v>
      </c>
      <c r="K91" s="181">
        <v>2019</v>
      </c>
      <c r="L91" s="178" t="s">
        <v>9186</v>
      </c>
      <c r="M91" s="182"/>
      <c r="N91" s="208" t="s">
        <v>9633</v>
      </c>
    </row>
    <row r="92" spans="1:14" ht="20.100000000000001" customHeight="1">
      <c r="A92" s="194">
        <v>204</v>
      </c>
      <c r="B92" s="178" t="s">
        <v>571</v>
      </c>
      <c r="C92" s="178" t="s">
        <v>9630</v>
      </c>
      <c r="D92" s="179">
        <v>9781799838579</v>
      </c>
      <c r="E92" s="179">
        <v>9781799838562</v>
      </c>
      <c r="F92" s="180" t="s">
        <v>9773</v>
      </c>
      <c r="G92" s="181">
        <v>1</v>
      </c>
      <c r="H92" s="181">
        <v>1</v>
      </c>
      <c r="I92" s="178" t="s">
        <v>9632</v>
      </c>
      <c r="J92" s="178" t="s">
        <v>1233</v>
      </c>
      <c r="K92" s="181">
        <v>2020</v>
      </c>
      <c r="L92" s="178" t="s">
        <v>9186</v>
      </c>
      <c r="M92" s="182"/>
      <c r="N92" s="208" t="s">
        <v>9774</v>
      </c>
    </row>
    <row r="93" spans="1:14" ht="20.100000000000001" customHeight="1">
      <c r="A93" s="195">
        <v>11</v>
      </c>
      <c r="B93" s="189" t="s">
        <v>571</v>
      </c>
      <c r="C93" s="189" t="s">
        <v>7471</v>
      </c>
      <c r="D93" s="190">
        <v>9781522500858</v>
      </c>
      <c r="E93" s="190">
        <v>9781522500841</v>
      </c>
      <c r="F93" s="191" t="s">
        <v>9903</v>
      </c>
      <c r="G93" s="192">
        <v>1</v>
      </c>
      <c r="H93" s="192">
        <v>1</v>
      </c>
      <c r="I93" s="189" t="s">
        <v>9904</v>
      </c>
      <c r="J93" s="189" t="s">
        <v>1233</v>
      </c>
      <c r="K93" s="192">
        <v>2016</v>
      </c>
      <c r="L93" s="189" t="s">
        <v>7499</v>
      </c>
      <c r="M93" s="193"/>
      <c r="N93" s="209" t="s">
        <v>9905</v>
      </c>
    </row>
    <row r="94" spans="1:14" ht="20.100000000000001" customHeight="1">
      <c r="A94" s="195">
        <v>12</v>
      </c>
      <c r="B94" s="189" t="s">
        <v>571</v>
      </c>
      <c r="C94" s="189" t="s">
        <v>7471</v>
      </c>
      <c r="D94" s="190">
        <v>9781522521174</v>
      </c>
      <c r="E94" s="190">
        <v>9781522521167</v>
      </c>
      <c r="F94" s="191" t="s">
        <v>9906</v>
      </c>
      <c r="G94" s="192">
        <v>1</v>
      </c>
      <c r="H94" s="192">
        <v>1</v>
      </c>
      <c r="I94" s="189" t="s">
        <v>9907</v>
      </c>
      <c r="J94" s="189" t="s">
        <v>1233</v>
      </c>
      <c r="K94" s="192">
        <v>2017</v>
      </c>
      <c r="L94" s="189" t="s">
        <v>7499</v>
      </c>
      <c r="M94" s="193"/>
      <c r="N94" s="209" t="s">
        <v>9908</v>
      </c>
    </row>
    <row r="95" spans="1:14" ht="20.100000000000001" customHeight="1">
      <c r="A95" s="194">
        <v>208</v>
      </c>
      <c r="B95" s="178" t="s">
        <v>571</v>
      </c>
      <c r="C95" s="178" t="s">
        <v>9785</v>
      </c>
      <c r="D95" s="179">
        <v>9781799842774</v>
      </c>
      <c r="E95" s="179">
        <v>9781799842767</v>
      </c>
      <c r="F95" s="180" t="s">
        <v>9786</v>
      </c>
      <c r="G95" s="181">
        <v>1</v>
      </c>
      <c r="H95" s="181">
        <v>1</v>
      </c>
      <c r="I95" s="178" t="s">
        <v>9787</v>
      </c>
      <c r="J95" s="178" t="s">
        <v>1233</v>
      </c>
      <c r="K95" s="181">
        <v>2021</v>
      </c>
      <c r="L95" s="178" t="s">
        <v>9186</v>
      </c>
      <c r="M95" s="182"/>
      <c r="N95" s="208" t="s">
        <v>9788</v>
      </c>
    </row>
    <row r="96" spans="1:14" ht="20.100000000000001" customHeight="1">
      <c r="A96" s="194">
        <v>146</v>
      </c>
      <c r="B96" s="178" t="s">
        <v>571</v>
      </c>
      <c r="C96" s="178" t="s">
        <v>9604</v>
      </c>
      <c r="D96" s="179">
        <v>9781522541639</v>
      </c>
      <c r="E96" s="179">
        <v>9781522541622</v>
      </c>
      <c r="F96" s="180" t="s">
        <v>9605</v>
      </c>
      <c r="G96" s="181">
        <v>1</v>
      </c>
      <c r="H96" s="181">
        <v>1</v>
      </c>
      <c r="I96" s="178" t="s">
        <v>6437</v>
      </c>
      <c r="J96" s="178" t="s">
        <v>1233</v>
      </c>
      <c r="K96" s="181">
        <v>2018</v>
      </c>
      <c r="L96" s="178" t="s">
        <v>9186</v>
      </c>
      <c r="M96" s="182"/>
      <c r="N96" s="208" t="s">
        <v>9606</v>
      </c>
    </row>
    <row r="97" spans="1:14" ht="20.100000000000001" customHeight="1">
      <c r="A97" s="194">
        <v>148</v>
      </c>
      <c r="B97" s="178" t="s">
        <v>571</v>
      </c>
      <c r="C97" s="178" t="s">
        <v>9604</v>
      </c>
      <c r="D97" s="179">
        <v>9781522531272</v>
      </c>
      <c r="E97" s="179">
        <v>9781522531265</v>
      </c>
      <c r="F97" s="180" t="s">
        <v>9609</v>
      </c>
      <c r="G97" s="181">
        <v>1</v>
      </c>
      <c r="H97" s="181">
        <v>1</v>
      </c>
      <c r="I97" s="178" t="s">
        <v>9610</v>
      </c>
      <c r="J97" s="178" t="s">
        <v>1233</v>
      </c>
      <c r="K97" s="181">
        <v>2018</v>
      </c>
      <c r="L97" s="178" t="s">
        <v>9186</v>
      </c>
      <c r="M97" s="182"/>
      <c r="N97" s="208" t="s">
        <v>9611</v>
      </c>
    </row>
    <row r="98" spans="1:14" ht="20.100000000000001" customHeight="1">
      <c r="A98" s="194">
        <v>154</v>
      </c>
      <c r="B98" s="178" t="s">
        <v>571</v>
      </c>
      <c r="C98" s="178" t="s">
        <v>9604</v>
      </c>
      <c r="D98" s="179">
        <v>9781522594420</v>
      </c>
      <c r="E98" s="179">
        <v>9781522594413</v>
      </c>
      <c r="F98" s="180" t="s">
        <v>9625</v>
      </c>
      <c r="G98" s="181">
        <v>1</v>
      </c>
      <c r="H98" s="181">
        <v>1</v>
      </c>
      <c r="I98" s="178" t="s">
        <v>8418</v>
      </c>
      <c r="J98" s="178" t="s">
        <v>1233</v>
      </c>
      <c r="K98" s="181">
        <v>2019</v>
      </c>
      <c r="L98" s="178" t="s">
        <v>9186</v>
      </c>
      <c r="M98" s="182"/>
      <c r="N98" s="208" t="s">
        <v>9626</v>
      </c>
    </row>
    <row r="99" spans="1:14" ht="20.100000000000001" customHeight="1">
      <c r="A99" s="194">
        <v>167</v>
      </c>
      <c r="B99" s="178" t="s">
        <v>571</v>
      </c>
      <c r="C99" s="178" t="s">
        <v>9604</v>
      </c>
      <c r="D99" s="179">
        <v>9781799803713</v>
      </c>
      <c r="E99" s="179">
        <v>9781799803690</v>
      </c>
      <c r="F99" s="180" t="s">
        <v>9665</v>
      </c>
      <c r="G99" s="181">
        <v>1</v>
      </c>
      <c r="H99" s="181">
        <v>1</v>
      </c>
      <c r="I99" s="178" t="s">
        <v>9666</v>
      </c>
      <c r="J99" s="178" t="s">
        <v>1233</v>
      </c>
      <c r="K99" s="181">
        <v>2020</v>
      </c>
      <c r="L99" s="178" t="s">
        <v>9186</v>
      </c>
      <c r="M99" s="182"/>
      <c r="N99" s="208" t="s">
        <v>9667</v>
      </c>
    </row>
    <row r="100" spans="1:14" ht="20.100000000000001" customHeight="1">
      <c r="A100" s="194">
        <v>187</v>
      </c>
      <c r="B100" s="178" t="s">
        <v>571</v>
      </c>
      <c r="C100" s="178" t="s">
        <v>9604</v>
      </c>
      <c r="D100" s="179">
        <v>9781799826477</v>
      </c>
      <c r="E100" s="179">
        <v>9781799826453</v>
      </c>
      <c r="F100" s="180" t="s">
        <v>9722</v>
      </c>
      <c r="G100" s="181">
        <v>1</v>
      </c>
      <c r="H100" s="181">
        <v>1</v>
      </c>
      <c r="I100" s="178" t="s">
        <v>9723</v>
      </c>
      <c r="J100" s="178" t="s">
        <v>1233</v>
      </c>
      <c r="K100" s="181">
        <v>2020</v>
      </c>
      <c r="L100" s="178" t="s">
        <v>9186</v>
      </c>
      <c r="M100" s="182"/>
      <c r="N100" s="208" t="s">
        <v>9724</v>
      </c>
    </row>
    <row r="101" spans="1:14" ht="20.100000000000001" customHeight="1">
      <c r="A101" s="194">
        <v>221</v>
      </c>
      <c r="B101" s="178" t="s">
        <v>571</v>
      </c>
      <c r="C101" s="178" t="s">
        <v>9604</v>
      </c>
      <c r="D101" s="179">
        <v>9781799849223</v>
      </c>
      <c r="E101" s="179">
        <v>9781799849216</v>
      </c>
      <c r="F101" s="180" t="s">
        <v>9824</v>
      </c>
      <c r="G101" s="181">
        <v>1</v>
      </c>
      <c r="H101" s="181">
        <v>1</v>
      </c>
      <c r="I101" s="178" t="s">
        <v>6437</v>
      </c>
      <c r="J101" s="178" t="s">
        <v>1233</v>
      </c>
      <c r="K101" s="181">
        <v>2021</v>
      </c>
      <c r="L101" s="178" t="s">
        <v>9186</v>
      </c>
      <c r="M101" s="182"/>
      <c r="N101" s="208" t="s">
        <v>9825</v>
      </c>
    </row>
    <row r="102" spans="1:14" ht="20.100000000000001" customHeight="1">
      <c r="A102" s="194">
        <v>224</v>
      </c>
      <c r="B102" s="178" t="s">
        <v>571</v>
      </c>
      <c r="C102" s="178" t="s">
        <v>9604</v>
      </c>
      <c r="D102" s="179">
        <v>9781799850281</v>
      </c>
      <c r="E102" s="179">
        <v>9781799850274</v>
      </c>
      <c r="F102" s="180" t="s">
        <v>9832</v>
      </c>
      <c r="G102" s="181">
        <v>1</v>
      </c>
      <c r="H102" s="181">
        <v>1</v>
      </c>
      <c r="I102" s="178" t="s">
        <v>9833</v>
      </c>
      <c r="J102" s="178" t="s">
        <v>1233</v>
      </c>
      <c r="K102" s="181">
        <v>2020</v>
      </c>
      <c r="L102" s="178" t="s">
        <v>9186</v>
      </c>
      <c r="M102" s="182"/>
      <c r="N102" s="208" t="s">
        <v>9834</v>
      </c>
    </row>
    <row r="103" spans="1:14" ht="20.100000000000001" customHeight="1">
      <c r="A103" s="194">
        <v>189</v>
      </c>
      <c r="B103" s="178" t="s">
        <v>571</v>
      </c>
      <c r="C103" s="178" t="s">
        <v>9728</v>
      </c>
      <c r="D103" s="179">
        <v>9781799836421</v>
      </c>
      <c r="E103" s="179">
        <v>9781799836407</v>
      </c>
      <c r="F103" s="180" t="s">
        <v>9729</v>
      </c>
      <c r="G103" s="181">
        <v>1</v>
      </c>
      <c r="H103" s="181">
        <v>1</v>
      </c>
      <c r="I103" s="178" t="s">
        <v>9730</v>
      </c>
      <c r="J103" s="178" t="s">
        <v>1233</v>
      </c>
      <c r="K103" s="181">
        <v>2021</v>
      </c>
      <c r="L103" s="178" t="s">
        <v>9186</v>
      </c>
      <c r="M103" s="182"/>
      <c r="N103" s="208" t="s">
        <v>9731</v>
      </c>
    </row>
    <row r="104" spans="1:14" ht="20.100000000000001" customHeight="1">
      <c r="A104" s="194">
        <v>192</v>
      </c>
      <c r="B104" s="178" t="s">
        <v>571</v>
      </c>
      <c r="C104" s="178" t="s">
        <v>9728</v>
      </c>
      <c r="D104" s="179">
        <v>9781522594956</v>
      </c>
      <c r="E104" s="179">
        <v>9781522594932</v>
      </c>
      <c r="F104" s="180" t="s">
        <v>9738</v>
      </c>
      <c r="G104" s="181">
        <v>1</v>
      </c>
      <c r="H104" s="181">
        <v>1</v>
      </c>
      <c r="I104" s="178" t="s">
        <v>9739</v>
      </c>
      <c r="J104" s="178" t="s">
        <v>1233</v>
      </c>
      <c r="K104" s="181">
        <v>2021</v>
      </c>
      <c r="L104" s="178" t="s">
        <v>9186</v>
      </c>
      <c r="M104" s="182"/>
      <c r="N104" s="208" t="s">
        <v>9740</v>
      </c>
    </row>
    <row r="105" spans="1:14" ht="20.100000000000001" customHeight="1">
      <c r="A105" s="194">
        <v>234</v>
      </c>
      <c r="B105" s="178" t="s">
        <v>571</v>
      </c>
      <c r="C105" s="178" t="s">
        <v>9728</v>
      </c>
      <c r="D105" s="179">
        <v>9781799877547</v>
      </c>
      <c r="E105" s="179">
        <v>9781799877080</v>
      </c>
      <c r="F105" s="180" t="s">
        <v>9860</v>
      </c>
      <c r="G105" s="181">
        <v>1</v>
      </c>
      <c r="H105" s="181">
        <v>1</v>
      </c>
      <c r="I105" s="178" t="s">
        <v>3446</v>
      </c>
      <c r="J105" s="178" t="s">
        <v>569</v>
      </c>
      <c r="K105" s="181">
        <v>2021</v>
      </c>
      <c r="L105" s="178" t="s">
        <v>9186</v>
      </c>
      <c r="M105" s="183" t="s">
        <v>9193</v>
      </c>
      <c r="N105" s="208" t="s">
        <v>9861</v>
      </c>
    </row>
    <row r="106" spans="1:14" ht="20.100000000000001" customHeight="1">
      <c r="A106" s="194">
        <v>235</v>
      </c>
      <c r="B106" s="178" t="s">
        <v>571</v>
      </c>
      <c r="C106" s="178" t="s">
        <v>9862</v>
      </c>
      <c r="D106" s="179">
        <v>9781799864691</v>
      </c>
      <c r="E106" s="179">
        <v>9781799864677</v>
      </c>
      <c r="F106" s="180" t="s">
        <v>9863</v>
      </c>
      <c r="G106" s="181">
        <v>1</v>
      </c>
      <c r="H106" s="181">
        <v>1</v>
      </c>
      <c r="I106" s="178" t="s">
        <v>9864</v>
      </c>
      <c r="J106" s="178" t="s">
        <v>1233</v>
      </c>
      <c r="K106" s="181">
        <v>2021</v>
      </c>
      <c r="L106" s="178" t="s">
        <v>9186</v>
      </c>
      <c r="M106" s="182"/>
      <c r="N106" s="208" t="s">
        <v>9865</v>
      </c>
    </row>
    <row r="107" spans="1:14" ht="20.100000000000001" customHeight="1">
      <c r="A107" s="194">
        <v>155</v>
      </c>
      <c r="B107" s="178" t="s">
        <v>571</v>
      </c>
      <c r="C107" s="178" t="s">
        <v>9627</v>
      </c>
      <c r="D107" s="179">
        <v>9781522585336</v>
      </c>
      <c r="E107" s="179">
        <v>9781522585312</v>
      </c>
      <c r="F107" s="180" t="s">
        <v>9628</v>
      </c>
      <c r="G107" s="181">
        <v>1</v>
      </c>
      <c r="H107" s="181">
        <v>1</v>
      </c>
      <c r="I107" s="178" t="s">
        <v>5648</v>
      </c>
      <c r="J107" s="178" t="s">
        <v>1233</v>
      </c>
      <c r="K107" s="181">
        <v>2019</v>
      </c>
      <c r="L107" s="178" t="s">
        <v>9186</v>
      </c>
      <c r="M107" s="182"/>
      <c r="N107" s="208" t="s">
        <v>9629</v>
      </c>
    </row>
    <row r="108" spans="1:14" ht="20.100000000000001" customHeight="1">
      <c r="A108" s="194">
        <v>160</v>
      </c>
      <c r="B108" s="178" t="s">
        <v>571</v>
      </c>
      <c r="C108" s="178" t="s">
        <v>9643</v>
      </c>
      <c r="D108" s="179">
        <v>9781522585534</v>
      </c>
      <c r="E108" s="179">
        <v>9781522585510</v>
      </c>
      <c r="F108" s="180" t="s">
        <v>9644</v>
      </c>
      <c r="G108" s="181">
        <v>1</v>
      </c>
      <c r="H108" s="181">
        <v>1</v>
      </c>
      <c r="I108" s="178" t="s">
        <v>9645</v>
      </c>
      <c r="J108" s="178" t="s">
        <v>1233</v>
      </c>
      <c r="K108" s="181">
        <v>2020</v>
      </c>
      <c r="L108" s="178" t="s">
        <v>9186</v>
      </c>
      <c r="M108" s="182"/>
      <c r="N108" s="208" t="s">
        <v>9646</v>
      </c>
    </row>
    <row r="109" spans="1:14" ht="20.100000000000001" customHeight="1">
      <c r="A109" s="194">
        <v>203</v>
      </c>
      <c r="B109" s="178" t="s">
        <v>571</v>
      </c>
      <c r="C109" s="178" t="s">
        <v>9643</v>
      </c>
      <c r="D109" s="179">
        <v>9781799838302</v>
      </c>
      <c r="E109" s="179">
        <v>9781799838296</v>
      </c>
      <c r="F109" s="180" t="s">
        <v>9770</v>
      </c>
      <c r="G109" s="181">
        <v>1</v>
      </c>
      <c r="H109" s="181">
        <v>1</v>
      </c>
      <c r="I109" s="178" t="s">
        <v>9771</v>
      </c>
      <c r="J109" s="178" t="s">
        <v>1233</v>
      </c>
      <c r="K109" s="181">
        <v>2021</v>
      </c>
      <c r="L109" s="178" t="s">
        <v>9186</v>
      </c>
      <c r="M109" s="182"/>
      <c r="N109" s="208" t="s">
        <v>9772</v>
      </c>
    </row>
    <row r="110" spans="1:14" ht="20.100000000000001" customHeight="1">
      <c r="A110" s="194">
        <v>206</v>
      </c>
      <c r="B110" s="178" t="s">
        <v>571</v>
      </c>
      <c r="C110" s="178" t="s">
        <v>9643</v>
      </c>
      <c r="D110" s="179">
        <v>9781799840282</v>
      </c>
      <c r="E110" s="179">
        <v>9781799840275</v>
      </c>
      <c r="F110" s="180" t="s">
        <v>9779</v>
      </c>
      <c r="G110" s="181">
        <v>1</v>
      </c>
      <c r="H110" s="181">
        <v>1</v>
      </c>
      <c r="I110" s="178" t="s">
        <v>9780</v>
      </c>
      <c r="J110" s="178" t="s">
        <v>1233</v>
      </c>
      <c r="K110" s="181">
        <v>2021</v>
      </c>
      <c r="L110" s="178" t="s">
        <v>9186</v>
      </c>
      <c r="M110" s="182"/>
      <c r="N110" s="208" t="s">
        <v>9781</v>
      </c>
    </row>
    <row r="111" spans="1:14" ht="20.100000000000001" customHeight="1">
      <c r="A111" s="194">
        <v>205</v>
      </c>
      <c r="B111" s="178" t="s">
        <v>571</v>
      </c>
      <c r="C111" s="178" t="s">
        <v>9775</v>
      </c>
      <c r="D111" s="179">
        <v>9781799839057</v>
      </c>
      <c r="E111" s="179">
        <v>9781799839040</v>
      </c>
      <c r="F111" s="180" t="s">
        <v>9776</v>
      </c>
      <c r="G111" s="181">
        <v>1</v>
      </c>
      <c r="H111" s="181">
        <v>1</v>
      </c>
      <c r="I111" s="178" t="s">
        <v>9777</v>
      </c>
      <c r="J111" s="178" t="s">
        <v>1233</v>
      </c>
      <c r="K111" s="181">
        <v>2020</v>
      </c>
      <c r="L111" s="178" t="s">
        <v>9186</v>
      </c>
      <c r="M111" s="182"/>
      <c r="N111" s="208" t="s">
        <v>9778</v>
      </c>
    </row>
    <row r="112" spans="1:14" ht="20.100000000000001" customHeight="1">
      <c r="A112" s="194">
        <v>207</v>
      </c>
      <c r="B112" s="178" t="s">
        <v>571</v>
      </c>
      <c r="C112" s="178" t="s">
        <v>9775</v>
      </c>
      <c r="D112" s="179">
        <v>9781799840558</v>
      </c>
      <c r="E112" s="179">
        <v>9781799840541</v>
      </c>
      <c r="F112" s="180" t="s">
        <v>9782</v>
      </c>
      <c r="G112" s="181">
        <v>1</v>
      </c>
      <c r="H112" s="181">
        <v>1</v>
      </c>
      <c r="I112" s="178" t="s">
        <v>9783</v>
      </c>
      <c r="J112" s="178" t="s">
        <v>1233</v>
      </c>
      <c r="K112" s="181">
        <v>2020</v>
      </c>
      <c r="L112" s="178" t="s">
        <v>9186</v>
      </c>
      <c r="M112" s="182"/>
      <c r="N112" s="208" t="s">
        <v>9784</v>
      </c>
    </row>
    <row r="113" spans="1:14" ht="20.100000000000001" customHeight="1">
      <c r="A113" s="194">
        <v>230</v>
      </c>
      <c r="B113" s="178" t="s">
        <v>571</v>
      </c>
      <c r="C113" s="178" t="s">
        <v>9775</v>
      </c>
      <c r="D113" s="179">
        <v>9781799872085</v>
      </c>
      <c r="E113" s="179">
        <v>9781799872061</v>
      </c>
      <c r="F113" s="180" t="s">
        <v>9849</v>
      </c>
      <c r="G113" s="181">
        <v>1</v>
      </c>
      <c r="H113" s="181">
        <v>1</v>
      </c>
      <c r="I113" s="178" t="s">
        <v>9850</v>
      </c>
      <c r="J113" s="178" t="s">
        <v>1233</v>
      </c>
      <c r="K113" s="181">
        <v>2021</v>
      </c>
      <c r="L113" s="178" t="s">
        <v>9186</v>
      </c>
      <c r="M113" s="182"/>
      <c r="N113" s="208" t="s">
        <v>9851</v>
      </c>
    </row>
    <row r="114" spans="1:14" ht="20.100000000000001" customHeight="1">
      <c r="A114" s="194">
        <v>200</v>
      </c>
      <c r="B114" s="178" t="s">
        <v>571</v>
      </c>
      <c r="C114" s="178" t="s">
        <v>9761</v>
      </c>
      <c r="D114" s="179">
        <v>9781799819226</v>
      </c>
      <c r="E114" s="179">
        <v>9781799819202</v>
      </c>
      <c r="F114" s="180" t="s">
        <v>9762</v>
      </c>
      <c r="G114" s="181">
        <v>1</v>
      </c>
      <c r="H114" s="181">
        <v>1</v>
      </c>
      <c r="I114" s="178" t="s">
        <v>9763</v>
      </c>
      <c r="J114" s="178" t="s">
        <v>1233</v>
      </c>
      <c r="K114" s="181">
        <v>2020</v>
      </c>
      <c r="L114" s="178" t="s">
        <v>9186</v>
      </c>
      <c r="M114" s="182"/>
      <c r="N114" s="208" t="s">
        <v>9764</v>
      </c>
    </row>
    <row r="115" spans="1:14" ht="20.100000000000001" customHeight="1">
      <c r="A115" s="194">
        <v>216</v>
      </c>
      <c r="B115" s="178" t="s">
        <v>571</v>
      </c>
      <c r="C115" s="178" t="s">
        <v>9761</v>
      </c>
      <c r="D115" s="179">
        <v>9781799848806</v>
      </c>
      <c r="E115" s="179">
        <v>9781799848790</v>
      </c>
      <c r="F115" s="180" t="s">
        <v>9810</v>
      </c>
      <c r="G115" s="181">
        <v>1</v>
      </c>
      <c r="H115" s="181">
        <v>1</v>
      </c>
      <c r="I115" s="178" t="s">
        <v>9811</v>
      </c>
      <c r="J115" s="178" t="s">
        <v>1233</v>
      </c>
      <c r="K115" s="181">
        <v>2021</v>
      </c>
      <c r="L115" s="178" t="s">
        <v>9186</v>
      </c>
      <c r="M115" s="182"/>
      <c r="N115" s="208" t="s">
        <v>9812</v>
      </c>
    </row>
    <row r="116" spans="1:14" ht="20.100000000000001" customHeight="1">
      <c r="A116" s="194">
        <v>237</v>
      </c>
      <c r="B116" s="178" t="s">
        <v>571</v>
      </c>
      <c r="C116" s="178" t="s">
        <v>9761</v>
      </c>
      <c r="D116" s="179">
        <v>9781799853589</v>
      </c>
      <c r="E116" s="179">
        <v>9781799853572</v>
      </c>
      <c r="F116" s="180" t="s">
        <v>9868</v>
      </c>
      <c r="G116" s="181">
        <v>1</v>
      </c>
      <c r="H116" s="181">
        <v>1</v>
      </c>
      <c r="I116" s="178" t="s">
        <v>3446</v>
      </c>
      <c r="J116" s="178" t="s">
        <v>1233</v>
      </c>
      <c r="K116" s="181">
        <v>2021</v>
      </c>
      <c r="L116" s="178" t="s">
        <v>9186</v>
      </c>
      <c r="M116" s="183" t="s">
        <v>9655</v>
      </c>
      <c r="N116" s="208" t="s">
        <v>9869</v>
      </c>
    </row>
    <row r="117" spans="1:14" ht="20.100000000000001" customHeight="1">
      <c r="A117" s="194">
        <v>23</v>
      </c>
      <c r="B117" s="178" t="s">
        <v>5071</v>
      </c>
      <c r="C117" s="178" t="s">
        <v>9249</v>
      </c>
      <c r="D117" s="179">
        <v>9781522584681</v>
      </c>
      <c r="E117" s="179">
        <v>9781522584674</v>
      </c>
      <c r="F117" s="180" t="s">
        <v>9250</v>
      </c>
      <c r="G117" s="181">
        <v>1</v>
      </c>
      <c r="H117" s="181">
        <v>1</v>
      </c>
      <c r="I117" s="178" t="s">
        <v>9251</v>
      </c>
      <c r="J117" s="178" t="s">
        <v>569</v>
      </c>
      <c r="K117" s="181">
        <v>2019</v>
      </c>
      <c r="L117" s="178" t="s">
        <v>9186</v>
      </c>
      <c r="M117" s="182"/>
      <c r="N117" s="208" t="s">
        <v>9252</v>
      </c>
    </row>
    <row r="118" spans="1:14" ht="20.100000000000001" customHeight="1">
      <c r="A118" s="194">
        <v>80</v>
      </c>
      <c r="B118" s="178" t="s">
        <v>5071</v>
      </c>
      <c r="C118" s="178" t="s">
        <v>9406</v>
      </c>
      <c r="D118" s="179">
        <v>9781799846659</v>
      </c>
      <c r="E118" s="179">
        <v>9781799846642</v>
      </c>
      <c r="F118" s="180" t="s">
        <v>9407</v>
      </c>
      <c r="G118" s="181">
        <v>1</v>
      </c>
      <c r="H118" s="181">
        <v>1</v>
      </c>
      <c r="I118" s="178" t="s">
        <v>9408</v>
      </c>
      <c r="J118" s="178" t="s">
        <v>569</v>
      </c>
      <c r="K118" s="181">
        <v>2021</v>
      </c>
      <c r="L118" s="178" t="s">
        <v>9186</v>
      </c>
      <c r="M118" s="182"/>
      <c r="N118" s="208" t="s">
        <v>9409</v>
      </c>
    </row>
    <row r="119" spans="1:14" ht="20.100000000000001" customHeight="1">
      <c r="A119" s="194">
        <v>104</v>
      </c>
      <c r="B119" s="178" t="s">
        <v>5071</v>
      </c>
      <c r="C119" s="178" t="s">
        <v>9406</v>
      </c>
      <c r="D119" s="179">
        <v>9781799864608</v>
      </c>
      <c r="E119" s="179">
        <v>9781799864585</v>
      </c>
      <c r="F119" s="180" t="s">
        <v>9476</v>
      </c>
      <c r="G119" s="181">
        <v>1</v>
      </c>
      <c r="H119" s="181">
        <v>1</v>
      </c>
      <c r="I119" s="178" t="s">
        <v>9477</v>
      </c>
      <c r="J119" s="178" t="s">
        <v>569</v>
      </c>
      <c r="K119" s="181">
        <v>2021</v>
      </c>
      <c r="L119" s="178" t="s">
        <v>9186</v>
      </c>
      <c r="M119" s="182"/>
      <c r="N119" s="208" t="s">
        <v>9478</v>
      </c>
    </row>
    <row r="120" spans="1:14" ht="20.100000000000001" customHeight="1">
      <c r="A120" s="194">
        <v>1</v>
      </c>
      <c r="B120" s="178" t="s">
        <v>5071</v>
      </c>
      <c r="C120" s="178" t="s">
        <v>9184</v>
      </c>
      <c r="D120" s="179">
        <v>9781522503484</v>
      </c>
      <c r="E120" s="179">
        <v>9781522503477</v>
      </c>
      <c r="F120" s="180" t="s">
        <v>9185</v>
      </c>
      <c r="G120" s="181">
        <v>1</v>
      </c>
      <c r="H120" s="181">
        <v>1</v>
      </c>
      <c r="I120" s="178" t="s">
        <v>7449</v>
      </c>
      <c r="J120" s="178" t="s">
        <v>569</v>
      </c>
      <c r="K120" s="181">
        <v>2016</v>
      </c>
      <c r="L120" s="178" t="s">
        <v>9186</v>
      </c>
      <c r="M120" s="182"/>
      <c r="N120" s="208" t="s">
        <v>9187</v>
      </c>
    </row>
    <row r="121" spans="1:14" ht="20.100000000000001" customHeight="1">
      <c r="A121" s="194">
        <v>3</v>
      </c>
      <c r="B121" s="178" t="s">
        <v>5071</v>
      </c>
      <c r="C121" s="178" t="s">
        <v>9184</v>
      </c>
      <c r="D121" s="179">
        <v>9781466695788</v>
      </c>
      <c r="E121" s="179">
        <v>9781466695771</v>
      </c>
      <c r="F121" s="180" t="s">
        <v>9192</v>
      </c>
      <c r="G121" s="181">
        <v>1</v>
      </c>
      <c r="H121" s="181">
        <v>1</v>
      </c>
      <c r="I121" s="178" t="s">
        <v>555</v>
      </c>
      <c r="J121" s="178" t="s">
        <v>569</v>
      </c>
      <c r="K121" s="181">
        <v>2016</v>
      </c>
      <c r="L121" s="178" t="s">
        <v>9186</v>
      </c>
      <c r="M121" s="183" t="s">
        <v>9193</v>
      </c>
      <c r="N121" s="208" t="s">
        <v>9194</v>
      </c>
    </row>
    <row r="122" spans="1:14" ht="20.100000000000001" customHeight="1">
      <c r="A122" s="194">
        <v>5</v>
      </c>
      <c r="B122" s="178" t="s">
        <v>5071</v>
      </c>
      <c r="C122" s="178" t="s">
        <v>9184</v>
      </c>
      <c r="D122" s="179">
        <v>9781522506737</v>
      </c>
      <c r="E122" s="179">
        <v>9781522506720</v>
      </c>
      <c r="F122" s="180" t="s">
        <v>9198</v>
      </c>
      <c r="G122" s="181">
        <v>1</v>
      </c>
      <c r="H122" s="181">
        <v>1</v>
      </c>
      <c r="I122" s="178" t="s">
        <v>9199</v>
      </c>
      <c r="J122" s="178" t="s">
        <v>569</v>
      </c>
      <c r="K122" s="181">
        <v>2017</v>
      </c>
      <c r="L122" s="178" t="s">
        <v>9186</v>
      </c>
      <c r="M122" s="182"/>
      <c r="N122" s="208" t="s">
        <v>9200</v>
      </c>
    </row>
    <row r="123" spans="1:14" ht="20.100000000000001" customHeight="1">
      <c r="A123" s="194">
        <v>13</v>
      </c>
      <c r="B123" s="178" t="s">
        <v>5071</v>
      </c>
      <c r="C123" s="178" t="s">
        <v>9184</v>
      </c>
      <c r="D123" s="179">
        <v>9781522570110</v>
      </c>
      <c r="E123" s="179">
        <v>9781522570103</v>
      </c>
      <c r="F123" s="180" t="s">
        <v>9220</v>
      </c>
      <c r="G123" s="181">
        <v>1</v>
      </c>
      <c r="H123" s="181">
        <v>1</v>
      </c>
      <c r="I123" s="178" t="s">
        <v>7296</v>
      </c>
      <c r="J123" s="178" t="s">
        <v>569</v>
      </c>
      <c r="K123" s="181">
        <v>2019</v>
      </c>
      <c r="L123" s="178" t="s">
        <v>9186</v>
      </c>
      <c r="M123" s="182"/>
      <c r="N123" s="208" t="s">
        <v>9221</v>
      </c>
    </row>
    <row r="124" spans="1:14" ht="20.100000000000001" customHeight="1">
      <c r="A124" s="194">
        <v>17</v>
      </c>
      <c r="B124" s="178" t="s">
        <v>5071</v>
      </c>
      <c r="C124" s="178" t="s">
        <v>9184</v>
      </c>
      <c r="D124" s="179">
        <v>9781522599630</v>
      </c>
      <c r="E124" s="179">
        <v>9781522599616</v>
      </c>
      <c r="F124" s="180" t="s">
        <v>9232</v>
      </c>
      <c r="G124" s="181">
        <v>1</v>
      </c>
      <c r="H124" s="181">
        <v>1</v>
      </c>
      <c r="I124" s="178" t="s">
        <v>9233</v>
      </c>
      <c r="J124" s="178" t="s">
        <v>569</v>
      </c>
      <c r="K124" s="181">
        <v>2019</v>
      </c>
      <c r="L124" s="178" t="s">
        <v>9186</v>
      </c>
      <c r="M124" s="182"/>
      <c r="N124" s="208" t="s">
        <v>9234</v>
      </c>
    </row>
    <row r="125" spans="1:14" ht="20.100000000000001" customHeight="1">
      <c r="A125" s="194">
        <v>18</v>
      </c>
      <c r="B125" s="178" t="s">
        <v>5071</v>
      </c>
      <c r="C125" s="178" t="s">
        <v>9184</v>
      </c>
      <c r="D125" s="179">
        <v>9781522584773</v>
      </c>
      <c r="E125" s="179">
        <v>9781522584766</v>
      </c>
      <c r="F125" s="180" t="s">
        <v>9235</v>
      </c>
      <c r="G125" s="181">
        <v>1</v>
      </c>
      <c r="H125" s="181">
        <v>1</v>
      </c>
      <c r="I125" s="178" t="s">
        <v>9236</v>
      </c>
      <c r="J125" s="178" t="s">
        <v>569</v>
      </c>
      <c r="K125" s="181">
        <v>2019</v>
      </c>
      <c r="L125" s="178" t="s">
        <v>9186</v>
      </c>
      <c r="M125" s="182"/>
      <c r="N125" s="208" t="s">
        <v>9237</v>
      </c>
    </row>
    <row r="126" spans="1:14" ht="20.100000000000001" customHeight="1">
      <c r="A126" s="194">
        <v>46</v>
      </c>
      <c r="B126" s="178" t="s">
        <v>5071</v>
      </c>
      <c r="C126" s="178" t="s">
        <v>9184</v>
      </c>
      <c r="D126" s="179">
        <v>9781799829034</v>
      </c>
      <c r="E126" s="179">
        <v>9781799829010</v>
      </c>
      <c r="F126" s="180" t="s">
        <v>9311</v>
      </c>
      <c r="G126" s="181">
        <v>1</v>
      </c>
      <c r="H126" s="181">
        <v>1</v>
      </c>
      <c r="I126" s="178" t="s">
        <v>9312</v>
      </c>
      <c r="J126" s="178" t="s">
        <v>569</v>
      </c>
      <c r="K126" s="181">
        <v>2020</v>
      </c>
      <c r="L126" s="178" t="s">
        <v>9186</v>
      </c>
      <c r="M126" s="182"/>
      <c r="N126" s="208" t="s">
        <v>9313</v>
      </c>
    </row>
    <row r="127" spans="1:14" ht="20.100000000000001" customHeight="1">
      <c r="A127" s="194">
        <v>56</v>
      </c>
      <c r="B127" s="178" t="s">
        <v>5071</v>
      </c>
      <c r="C127" s="178" t="s">
        <v>9184</v>
      </c>
      <c r="D127" s="179">
        <v>9781799820819</v>
      </c>
      <c r="E127" s="179">
        <v>9781799820796</v>
      </c>
      <c r="F127" s="180" t="s">
        <v>9340</v>
      </c>
      <c r="G127" s="181">
        <v>1</v>
      </c>
      <c r="H127" s="181">
        <v>1</v>
      </c>
      <c r="I127" s="178" t="s">
        <v>6968</v>
      </c>
      <c r="J127" s="178" t="s">
        <v>569</v>
      </c>
      <c r="K127" s="181">
        <v>2020</v>
      </c>
      <c r="L127" s="178" t="s">
        <v>9186</v>
      </c>
      <c r="M127" s="182"/>
      <c r="N127" s="208" t="s">
        <v>9341</v>
      </c>
    </row>
    <row r="128" spans="1:14" ht="20.100000000000001" customHeight="1">
      <c r="A128" s="194">
        <v>62</v>
      </c>
      <c r="B128" s="178" t="s">
        <v>5071</v>
      </c>
      <c r="C128" s="178" t="s">
        <v>9184</v>
      </c>
      <c r="D128" s="179">
        <v>9781799852698</v>
      </c>
      <c r="E128" s="179">
        <v>9781799852681</v>
      </c>
      <c r="F128" s="180" t="s">
        <v>9356</v>
      </c>
      <c r="G128" s="181">
        <v>1</v>
      </c>
      <c r="H128" s="181">
        <v>1</v>
      </c>
      <c r="I128" s="178" t="s">
        <v>2218</v>
      </c>
      <c r="J128" s="178" t="s">
        <v>569</v>
      </c>
      <c r="K128" s="181">
        <v>2020</v>
      </c>
      <c r="L128" s="178" t="s">
        <v>9186</v>
      </c>
      <c r="M128" s="182"/>
      <c r="N128" s="208" t="s">
        <v>9357</v>
      </c>
    </row>
    <row r="129" spans="1:14" ht="20.100000000000001" customHeight="1">
      <c r="A129" s="194">
        <v>68</v>
      </c>
      <c r="B129" s="178" t="s">
        <v>5071</v>
      </c>
      <c r="C129" s="178" t="s">
        <v>9184</v>
      </c>
      <c r="D129" s="179">
        <v>9781799838722</v>
      </c>
      <c r="E129" s="179">
        <v>9781799838715</v>
      </c>
      <c r="F129" s="180" t="s">
        <v>9371</v>
      </c>
      <c r="G129" s="181">
        <v>1</v>
      </c>
      <c r="H129" s="181">
        <v>1</v>
      </c>
      <c r="I129" s="178" t="s">
        <v>9372</v>
      </c>
      <c r="J129" s="178" t="s">
        <v>569</v>
      </c>
      <c r="K129" s="181">
        <v>2021</v>
      </c>
      <c r="L129" s="178" t="s">
        <v>9186</v>
      </c>
      <c r="M129" s="182"/>
      <c r="N129" s="208" t="s">
        <v>9373</v>
      </c>
    </row>
    <row r="130" spans="1:14" ht="20.100000000000001" customHeight="1">
      <c r="A130" s="194">
        <v>69</v>
      </c>
      <c r="B130" s="178" t="s">
        <v>5071</v>
      </c>
      <c r="C130" s="178" t="s">
        <v>9184</v>
      </c>
      <c r="D130" s="179">
        <v>9781799839385</v>
      </c>
      <c r="E130" s="179">
        <v>9781799839378</v>
      </c>
      <c r="F130" s="180" t="s">
        <v>9374</v>
      </c>
      <c r="G130" s="181">
        <v>1</v>
      </c>
      <c r="H130" s="181">
        <v>1</v>
      </c>
      <c r="I130" s="178" t="s">
        <v>9375</v>
      </c>
      <c r="J130" s="178" t="s">
        <v>569</v>
      </c>
      <c r="K130" s="181">
        <v>2021</v>
      </c>
      <c r="L130" s="178" t="s">
        <v>9186</v>
      </c>
      <c r="M130" s="182"/>
      <c r="N130" s="208" t="s">
        <v>9376</v>
      </c>
    </row>
    <row r="131" spans="1:14" ht="20.100000000000001" customHeight="1">
      <c r="A131" s="194">
        <v>70</v>
      </c>
      <c r="B131" s="178" t="s">
        <v>5071</v>
      </c>
      <c r="C131" s="178" t="s">
        <v>9184</v>
      </c>
      <c r="D131" s="179">
        <v>9781799840978</v>
      </c>
      <c r="E131" s="179">
        <v>9781799840961</v>
      </c>
      <c r="F131" s="180" t="s">
        <v>9377</v>
      </c>
      <c r="G131" s="181">
        <v>1</v>
      </c>
      <c r="H131" s="181">
        <v>1</v>
      </c>
      <c r="I131" s="178" t="s">
        <v>9378</v>
      </c>
      <c r="J131" s="178" t="s">
        <v>569</v>
      </c>
      <c r="K131" s="181">
        <v>2021</v>
      </c>
      <c r="L131" s="178" t="s">
        <v>9186</v>
      </c>
      <c r="M131" s="182"/>
      <c r="N131" s="208" t="s">
        <v>9379</v>
      </c>
    </row>
    <row r="132" spans="1:14" ht="20.100000000000001" customHeight="1">
      <c r="A132" s="194">
        <v>72</v>
      </c>
      <c r="B132" s="178" t="s">
        <v>5071</v>
      </c>
      <c r="C132" s="178" t="s">
        <v>9184</v>
      </c>
      <c r="D132" s="179">
        <v>9781799841098</v>
      </c>
      <c r="E132" s="179">
        <v>9781799841081</v>
      </c>
      <c r="F132" s="180" t="s">
        <v>9383</v>
      </c>
      <c r="G132" s="181">
        <v>1</v>
      </c>
      <c r="H132" s="181">
        <v>1</v>
      </c>
      <c r="I132" s="178" t="s">
        <v>9384</v>
      </c>
      <c r="J132" s="178" t="s">
        <v>569</v>
      </c>
      <c r="K132" s="181">
        <v>2020</v>
      </c>
      <c r="L132" s="178" t="s">
        <v>9186</v>
      </c>
      <c r="M132" s="182"/>
      <c r="N132" s="208" t="s">
        <v>9385</v>
      </c>
    </row>
    <row r="133" spans="1:14" ht="20.100000000000001" customHeight="1">
      <c r="A133" s="194">
        <v>77</v>
      </c>
      <c r="B133" s="178" t="s">
        <v>5071</v>
      </c>
      <c r="C133" s="178" t="s">
        <v>9184</v>
      </c>
      <c r="D133" s="179">
        <v>9781799843610</v>
      </c>
      <c r="E133" s="179">
        <v>9781799843603</v>
      </c>
      <c r="F133" s="180" t="s">
        <v>9399</v>
      </c>
      <c r="G133" s="181">
        <v>1</v>
      </c>
      <c r="H133" s="181">
        <v>1</v>
      </c>
      <c r="I133" s="178" t="s">
        <v>2218</v>
      </c>
      <c r="J133" s="178" t="s">
        <v>569</v>
      </c>
      <c r="K133" s="181">
        <v>2021</v>
      </c>
      <c r="L133" s="178" t="s">
        <v>9186</v>
      </c>
      <c r="M133" s="182"/>
      <c r="N133" s="208" t="s">
        <v>9400</v>
      </c>
    </row>
    <row r="134" spans="1:14" ht="20.100000000000001" customHeight="1">
      <c r="A134" s="194">
        <v>81</v>
      </c>
      <c r="B134" s="178" t="s">
        <v>5071</v>
      </c>
      <c r="C134" s="178" t="s">
        <v>9184</v>
      </c>
      <c r="D134" s="179">
        <v>9781799846710</v>
      </c>
      <c r="E134" s="179">
        <v>9781799846703</v>
      </c>
      <c r="F134" s="180" t="s">
        <v>9410</v>
      </c>
      <c r="G134" s="181">
        <v>1</v>
      </c>
      <c r="H134" s="181">
        <v>1</v>
      </c>
      <c r="I134" s="178" t="s">
        <v>9411</v>
      </c>
      <c r="J134" s="178" t="s">
        <v>569</v>
      </c>
      <c r="K134" s="181">
        <v>2020</v>
      </c>
      <c r="L134" s="178" t="s">
        <v>9186</v>
      </c>
      <c r="M134" s="182"/>
      <c r="N134" s="208" t="s">
        <v>9412</v>
      </c>
    </row>
    <row r="135" spans="1:14" ht="20.100000000000001" customHeight="1">
      <c r="A135" s="194">
        <v>82</v>
      </c>
      <c r="B135" s="178" t="s">
        <v>5071</v>
      </c>
      <c r="C135" s="178" t="s">
        <v>9184</v>
      </c>
      <c r="D135" s="179">
        <v>9781799847229</v>
      </c>
      <c r="E135" s="179">
        <v>9781799847212</v>
      </c>
      <c r="F135" s="180" t="s">
        <v>9413</v>
      </c>
      <c r="G135" s="181">
        <v>1</v>
      </c>
      <c r="H135" s="181">
        <v>1</v>
      </c>
      <c r="I135" s="178" t="s">
        <v>9414</v>
      </c>
      <c r="J135" s="178" t="s">
        <v>569</v>
      </c>
      <c r="K135" s="181">
        <v>2021</v>
      </c>
      <c r="L135" s="178" t="s">
        <v>9186</v>
      </c>
      <c r="M135" s="182"/>
      <c r="N135" s="208" t="s">
        <v>9415</v>
      </c>
    </row>
    <row r="136" spans="1:14" ht="20.100000000000001" customHeight="1">
      <c r="A136" s="194">
        <v>87</v>
      </c>
      <c r="B136" s="178" t="s">
        <v>5071</v>
      </c>
      <c r="C136" s="178" t="s">
        <v>9184</v>
      </c>
      <c r="D136" s="179">
        <v>9781799848479</v>
      </c>
      <c r="E136" s="179">
        <v>9781799848462</v>
      </c>
      <c r="F136" s="180" t="s">
        <v>9427</v>
      </c>
      <c r="G136" s="181">
        <v>1</v>
      </c>
      <c r="H136" s="181">
        <v>1</v>
      </c>
      <c r="I136" s="178" t="s">
        <v>9428</v>
      </c>
      <c r="J136" s="178" t="s">
        <v>569</v>
      </c>
      <c r="K136" s="181">
        <v>2021</v>
      </c>
      <c r="L136" s="178" t="s">
        <v>9186</v>
      </c>
      <c r="M136" s="182"/>
      <c r="N136" s="208" t="s">
        <v>9429</v>
      </c>
    </row>
    <row r="137" spans="1:14" ht="20.100000000000001" customHeight="1">
      <c r="A137" s="194">
        <v>88</v>
      </c>
      <c r="B137" s="178" t="s">
        <v>5071</v>
      </c>
      <c r="C137" s="178" t="s">
        <v>9184</v>
      </c>
      <c r="D137" s="179">
        <v>9781799849070</v>
      </c>
      <c r="E137" s="179">
        <v>9781799849063</v>
      </c>
      <c r="F137" s="180" t="s">
        <v>9430</v>
      </c>
      <c r="G137" s="181">
        <v>1</v>
      </c>
      <c r="H137" s="181">
        <v>1</v>
      </c>
      <c r="I137" s="178" t="s">
        <v>9431</v>
      </c>
      <c r="J137" s="178" t="s">
        <v>569</v>
      </c>
      <c r="K137" s="181">
        <v>2021</v>
      </c>
      <c r="L137" s="178" t="s">
        <v>9186</v>
      </c>
      <c r="M137" s="182"/>
      <c r="N137" s="208" t="s">
        <v>9432</v>
      </c>
    </row>
    <row r="138" spans="1:14" ht="20.100000000000001" customHeight="1">
      <c r="A138" s="194">
        <v>91</v>
      </c>
      <c r="B138" s="178" t="s">
        <v>5071</v>
      </c>
      <c r="C138" s="178" t="s">
        <v>9184</v>
      </c>
      <c r="D138" s="179">
        <v>9781799849612</v>
      </c>
      <c r="E138" s="179">
        <v>9781799849605</v>
      </c>
      <c r="F138" s="180" t="s">
        <v>9439</v>
      </c>
      <c r="G138" s="181">
        <v>1</v>
      </c>
      <c r="H138" s="181">
        <v>1</v>
      </c>
      <c r="I138" s="178" t="s">
        <v>9440</v>
      </c>
      <c r="J138" s="178" t="s">
        <v>569</v>
      </c>
      <c r="K138" s="181">
        <v>2021</v>
      </c>
      <c r="L138" s="178" t="s">
        <v>9186</v>
      </c>
      <c r="M138" s="182"/>
      <c r="N138" s="208" t="s">
        <v>9441</v>
      </c>
    </row>
    <row r="139" spans="1:14" ht="20.100000000000001" customHeight="1">
      <c r="A139" s="194">
        <v>95</v>
      </c>
      <c r="B139" s="178" t="s">
        <v>5071</v>
      </c>
      <c r="C139" s="178" t="s">
        <v>9184</v>
      </c>
      <c r="D139" s="179">
        <v>9781799850441</v>
      </c>
      <c r="E139" s="179">
        <v>9781799850434</v>
      </c>
      <c r="F139" s="180" t="s">
        <v>9450</v>
      </c>
      <c r="G139" s="181">
        <v>1</v>
      </c>
      <c r="H139" s="181">
        <v>1</v>
      </c>
      <c r="I139" s="178" t="s">
        <v>9451</v>
      </c>
      <c r="J139" s="178" t="s">
        <v>569</v>
      </c>
      <c r="K139" s="181">
        <v>2021</v>
      </c>
      <c r="L139" s="178" t="s">
        <v>9186</v>
      </c>
      <c r="M139" s="182"/>
      <c r="N139" s="208" t="s">
        <v>9452</v>
      </c>
    </row>
    <row r="140" spans="1:14" ht="20.100000000000001" customHeight="1">
      <c r="A140" s="194">
        <v>96</v>
      </c>
      <c r="B140" s="178" t="s">
        <v>5071</v>
      </c>
      <c r="C140" s="178" t="s">
        <v>9184</v>
      </c>
      <c r="D140" s="179">
        <v>9781799850755</v>
      </c>
      <c r="E140" s="179">
        <v>9781799850748</v>
      </c>
      <c r="F140" s="180" t="s">
        <v>9453</v>
      </c>
      <c r="G140" s="181">
        <v>1</v>
      </c>
      <c r="H140" s="181">
        <v>1</v>
      </c>
      <c r="I140" s="178" t="s">
        <v>9454</v>
      </c>
      <c r="J140" s="178" t="s">
        <v>569</v>
      </c>
      <c r="K140" s="181">
        <v>2020</v>
      </c>
      <c r="L140" s="178" t="s">
        <v>9186</v>
      </c>
      <c r="M140" s="182"/>
      <c r="N140" s="208" t="s">
        <v>9455</v>
      </c>
    </row>
    <row r="141" spans="1:14" ht="20.100000000000001" customHeight="1">
      <c r="A141" s="194">
        <v>97</v>
      </c>
      <c r="B141" s="178" t="s">
        <v>5071</v>
      </c>
      <c r="C141" s="178" t="s">
        <v>9184</v>
      </c>
      <c r="D141" s="179">
        <v>9781799850908</v>
      </c>
      <c r="E141" s="179">
        <v>9781799850892</v>
      </c>
      <c r="F141" s="180" t="s">
        <v>9456</v>
      </c>
      <c r="G141" s="181">
        <v>1</v>
      </c>
      <c r="H141" s="181">
        <v>1</v>
      </c>
      <c r="I141" s="178" t="s">
        <v>9457</v>
      </c>
      <c r="J141" s="178" t="s">
        <v>569</v>
      </c>
      <c r="K141" s="181">
        <v>2020</v>
      </c>
      <c r="L141" s="178" t="s">
        <v>9186</v>
      </c>
      <c r="M141" s="182"/>
      <c r="N141" s="208" t="s">
        <v>9458</v>
      </c>
    </row>
    <row r="142" spans="1:14" ht="20.100000000000001" customHeight="1">
      <c r="A142" s="194">
        <v>98</v>
      </c>
      <c r="B142" s="178" t="s">
        <v>5071</v>
      </c>
      <c r="C142" s="178" t="s">
        <v>9184</v>
      </c>
      <c r="D142" s="179">
        <v>9781799857716</v>
      </c>
      <c r="E142" s="179">
        <v>9781799857709</v>
      </c>
      <c r="F142" s="180" t="s">
        <v>9459</v>
      </c>
      <c r="G142" s="181">
        <v>1</v>
      </c>
      <c r="H142" s="181">
        <v>1</v>
      </c>
      <c r="I142" s="178" t="s">
        <v>9414</v>
      </c>
      <c r="J142" s="178" t="s">
        <v>569</v>
      </c>
      <c r="K142" s="181">
        <v>2021</v>
      </c>
      <c r="L142" s="178" t="s">
        <v>9186</v>
      </c>
      <c r="M142" s="182"/>
      <c r="N142" s="208" t="s">
        <v>9460</v>
      </c>
    </row>
    <row r="143" spans="1:14" ht="20.100000000000001" customHeight="1">
      <c r="A143" s="194">
        <v>100</v>
      </c>
      <c r="B143" s="178" t="s">
        <v>5071</v>
      </c>
      <c r="C143" s="178" t="s">
        <v>9184</v>
      </c>
      <c r="D143" s="179">
        <v>9781799858065</v>
      </c>
      <c r="E143" s="179">
        <v>9781799858058</v>
      </c>
      <c r="F143" s="180" t="s">
        <v>9464</v>
      </c>
      <c r="G143" s="181">
        <v>1</v>
      </c>
      <c r="H143" s="181">
        <v>1</v>
      </c>
      <c r="I143" s="178" t="s">
        <v>9465</v>
      </c>
      <c r="J143" s="178" t="s">
        <v>569</v>
      </c>
      <c r="K143" s="181">
        <v>2021</v>
      </c>
      <c r="L143" s="178" t="s">
        <v>9186</v>
      </c>
      <c r="M143" s="182"/>
      <c r="N143" s="208" t="s">
        <v>9466</v>
      </c>
    </row>
    <row r="144" spans="1:14" ht="20.100000000000001" customHeight="1">
      <c r="A144" s="194">
        <v>102</v>
      </c>
      <c r="B144" s="178" t="s">
        <v>5071</v>
      </c>
      <c r="C144" s="178" t="s">
        <v>9184</v>
      </c>
      <c r="D144" s="179">
        <v>9781799865100</v>
      </c>
      <c r="E144" s="179">
        <v>9781799865087</v>
      </c>
      <c r="F144" s="180" t="s">
        <v>9470</v>
      </c>
      <c r="G144" s="181">
        <v>1</v>
      </c>
      <c r="H144" s="181">
        <v>1</v>
      </c>
      <c r="I144" s="178" t="s">
        <v>9471</v>
      </c>
      <c r="J144" s="178" t="s">
        <v>569</v>
      </c>
      <c r="K144" s="181">
        <v>2021</v>
      </c>
      <c r="L144" s="178" t="s">
        <v>9186</v>
      </c>
      <c r="M144" s="182"/>
      <c r="N144" s="208" t="s">
        <v>9472</v>
      </c>
    </row>
    <row r="145" spans="1:14" ht="20.100000000000001" customHeight="1">
      <c r="A145" s="194">
        <v>105</v>
      </c>
      <c r="B145" s="178" t="s">
        <v>5071</v>
      </c>
      <c r="C145" s="178" t="s">
        <v>9184</v>
      </c>
      <c r="D145" s="179">
        <v>9781799866831</v>
      </c>
      <c r="E145" s="179">
        <v>9781799866817</v>
      </c>
      <c r="F145" s="180" t="s">
        <v>9479</v>
      </c>
      <c r="G145" s="181">
        <v>1</v>
      </c>
      <c r="H145" s="181">
        <v>1</v>
      </c>
      <c r="I145" s="178" t="s">
        <v>6599</v>
      </c>
      <c r="J145" s="178" t="s">
        <v>569</v>
      </c>
      <c r="K145" s="181">
        <v>2021</v>
      </c>
      <c r="L145" s="178" t="s">
        <v>9186</v>
      </c>
      <c r="M145" s="182"/>
      <c r="N145" s="208" t="s">
        <v>9480</v>
      </c>
    </row>
    <row r="146" spans="1:14" ht="20.100000000000001" customHeight="1">
      <c r="A146" s="194">
        <v>106</v>
      </c>
      <c r="B146" s="178" t="s">
        <v>5071</v>
      </c>
      <c r="C146" s="178" t="s">
        <v>9184</v>
      </c>
      <c r="D146" s="179">
        <v>9781799870555</v>
      </c>
      <c r="E146" s="179">
        <v>9781799870531</v>
      </c>
      <c r="F146" s="180" t="s">
        <v>9481</v>
      </c>
      <c r="G146" s="181">
        <v>1</v>
      </c>
      <c r="H146" s="181">
        <v>1</v>
      </c>
      <c r="I146" s="178" t="s">
        <v>3082</v>
      </c>
      <c r="J146" s="178" t="s">
        <v>569</v>
      </c>
      <c r="K146" s="181">
        <v>2021</v>
      </c>
      <c r="L146" s="178" t="s">
        <v>9186</v>
      </c>
      <c r="M146" s="182"/>
      <c r="N146" s="208" t="s">
        <v>9482</v>
      </c>
    </row>
    <row r="147" spans="1:14" ht="20.100000000000001" customHeight="1">
      <c r="A147" s="194">
        <v>109</v>
      </c>
      <c r="B147" s="178" t="s">
        <v>5071</v>
      </c>
      <c r="C147" s="178" t="s">
        <v>9184</v>
      </c>
      <c r="D147" s="179">
        <v>9781799835295</v>
      </c>
      <c r="E147" s="179">
        <v>9781799835271</v>
      </c>
      <c r="F147" s="180" t="s">
        <v>9489</v>
      </c>
      <c r="G147" s="181">
        <v>1</v>
      </c>
      <c r="H147" s="181">
        <v>1</v>
      </c>
      <c r="I147" s="178" t="s">
        <v>9490</v>
      </c>
      <c r="J147" s="178" t="s">
        <v>569</v>
      </c>
      <c r="K147" s="181">
        <v>2021</v>
      </c>
      <c r="L147" s="178" t="s">
        <v>9186</v>
      </c>
      <c r="M147" s="182"/>
      <c r="N147" s="208" t="s">
        <v>9491</v>
      </c>
    </row>
    <row r="148" spans="1:14" ht="20.100000000000001" customHeight="1">
      <c r="A148" s="194">
        <v>111</v>
      </c>
      <c r="B148" s="178" t="s">
        <v>5071</v>
      </c>
      <c r="C148" s="178" t="s">
        <v>9184</v>
      </c>
      <c r="D148" s="179">
        <v>9781799855590</v>
      </c>
      <c r="E148" s="179">
        <v>9781799855576</v>
      </c>
      <c r="F148" s="180" t="s">
        <v>9494</v>
      </c>
      <c r="G148" s="181">
        <v>1</v>
      </c>
      <c r="H148" s="181">
        <v>1</v>
      </c>
      <c r="I148" s="178" t="s">
        <v>9495</v>
      </c>
      <c r="J148" s="178" t="s">
        <v>569</v>
      </c>
      <c r="K148" s="181">
        <v>2021</v>
      </c>
      <c r="L148" s="178" t="s">
        <v>9186</v>
      </c>
      <c r="M148" s="182"/>
      <c r="N148" s="208" t="s">
        <v>9496</v>
      </c>
    </row>
    <row r="149" spans="1:14" ht="20.100000000000001" customHeight="1">
      <c r="A149" s="194">
        <v>112</v>
      </c>
      <c r="B149" s="178" t="s">
        <v>5071</v>
      </c>
      <c r="C149" s="178" t="s">
        <v>9184</v>
      </c>
      <c r="D149" s="179">
        <v>9781799856009</v>
      </c>
      <c r="E149" s="179">
        <v>9781799855989</v>
      </c>
      <c r="F149" s="180" t="s">
        <v>9497</v>
      </c>
      <c r="G149" s="181">
        <v>1</v>
      </c>
      <c r="H149" s="181">
        <v>1</v>
      </c>
      <c r="I149" s="178" t="s">
        <v>9498</v>
      </c>
      <c r="J149" s="178" t="s">
        <v>569</v>
      </c>
      <c r="K149" s="181">
        <v>2021</v>
      </c>
      <c r="L149" s="178" t="s">
        <v>9186</v>
      </c>
      <c r="M149" s="182"/>
      <c r="N149" s="208" t="s">
        <v>9499</v>
      </c>
    </row>
    <row r="150" spans="1:14" ht="20.100000000000001" customHeight="1">
      <c r="A150" s="194">
        <v>113</v>
      </c>
      <c r="B150" s="178" t="s">
        <v>5071</v>
      </c>
      <c r="C150" s="178" t="s">
        <v>9184</v>
      </c>
      <c r="D150" s="179">
        <v>9781799812517</v>
      </c>
      <c r="E150" s="179">
        <v>9781799812494</v>
      </c>
      <c r="F150" s="180" t="s">
        <v>9500</v>
      </c>
      <c r="G150" s="181">
        <v>1</v>
      </c>
      <c r="H150" s="181">
        <v>1</v>
      </c>
      <c r="I150" s="178" t="s">
        <v>9501</v>
      </c>
      <c r="J150" s="178" t="s">
        <v>569</v>
      </c>
      <c r="K150" s="181">
        <v>2021</v>
      </c>
      <c r="L150" s="178" t="s">
        <v>9186</v>
      </c>
      <c r="M150" s="182"/>
      <c r="N150" s="208" t="s">
        <v>9502</v>
      </c>
    </row>
    <row r="151" spans="1:14" ht="20.100000000000001" customHeight="1">
      <c r="A151" s="194">
        <v>114</v>
      </c>
      <c r="B151" s="178" t="s">
        <v>5071</v>
      </c>
      <c r="C151" s="178" t="s">
        <v>9184</v>
      </c>
      <c r="D151" s="179">
        <v>9781799857204</v>
      </c>
      <c r="E151" s="179">
        <v>9781799857181</v>
      </c>
      <c r="F151" s="180" t="s">
        <v>9503</v>
      </c>
      <c r="G151" s="181">
        <v>1</v>
      </c>
      <c r="H151" s="181">
        <v>1</v>
      </c>
      <c r="I151" s="178" t="s">
        <v>9504</v>
      </c>
      <c r="J151" s="178" t="s">
        <v>569</v>
      </c>
      <c r="K151" s="181">
        <v>2021</v>
      </c>
      <c r="L151" s="178" t="s">
        <v>9186</v>
      </c>
      <c r="M151" s="182"/>
      <c r="N151" s="208" t="s">
        <v>9505</v>
      </c>
    </row>
    <row r="152" spans="1:14" ht="20.100000000000001" customHeight="1">
      <c r="A152" s="194">
        <v>115</v>
      </c>
      <c r="B152" s="178" t="s">
        <v>5071</v>
      </c>
      <c r="C152" s="178" t="s">
        <v>9184</v>
      </c>
      <c r="D152" s="179">
        <v>9781799855163</v>
      </c>
      <c r="E152" s="179">
        <v>9781799855149</v>
      </c>
      <c r="F152" s="180" t="s">
        <v>9506</v>
      </c>
      <c r="G152" s="181">
        <v>1</v>
      </c>
      <c r="H152" s="181">
        <v>1</v>
      </c>
      <c r="I152" s="178" t="s">
        <v>9507</v>
      </c>
      <c r="J152" s="178" t="s">
        <v>569</v>
      </c>
      <c r="K152" s="181">
        <v>2021</v>
      </c>
      <c r="L152" s="178" t="s">
        <v>9186</v>
      </c>
      <c r="M152" s="182"/>
      <c r="N152" s="208" t="s">
        <v>9508</v>
      </c>
    </row>
    <row r="153" spans="1:14" ht="20.100000000000001" customHeight="1">
      <c r="A153" s="195">
        <v>2</v>
      </c>
      <c r="B153" s="189" t="s">
        <v>5071</v>
      </c>
      <c r="C153" s="189" t="s">
        <v>7478</v>
      </c>
      <c r="D153" s="190">
        <v>9781466688452</v>
      </c>
      <c r="E153" s="190">
        <v>9781466688445</v>
      </c>
      <c r="F153" s="191" t="s">
        <v>9878</v>
      </c>
      <c r="G153" s="192">
        <v>1</v>
      </c>
      <c r="H153" s="192">
        <v>1</v>
      </c>
      <c r="I153" s="189" t="s">
        <v>3123</v>
      </c>
      <c r="J153" s="189" t="s">
        <v>569</v>
      </c>
      <c r="K153" s="192">
        <v>2016</v>
      </c>
      <c r="L153" s="189" t="s">
        <v>7499</v>
      </c>
      <c r="M153" s="193"/>
      <c r="N153" s="209" t="s">
        <v>9879</v>
      </c>
    </row>
    <row r="154" spans="1:14" ht="20.100000000000001" customHeight="1">
      <c r="A154" s="195">
        <v>3</v>
      </c>
      <c r="B154" s="189" t="s">
        <v>5071</v>
      </c>
      <c r="C154" s="189" t="s">
        <v>7478</v>
      </c>
      <c r="D154" s="190">
        <v>9781466694569</v>
      </c>
      <c r="E154" s="190">
        <v>9781466694552</v>
      </c>
      <c r="F154" s="191" t="s">
        <v>9880</v>
      </c>
      <c r="G154" s="192">
        <v>1</v>
      </c>
      <c r="H154" s="192">
        <v>1</v>
      </c>
      <c r="I154" s="189" t="s">
        <v>9881</v>
      </c>
      <c r="J154" s="189" t="s">
        <v>569</v>
      </c>
      <c r="K154" s="192">
        <v>2016</v>
      </c>
      <c r="L154" s="189" t="s">
        <v>7499</v>
      </c>
      <c r="M154" s="193"/>
      <c r="N154" s="209" t="s">
        <v>9882</v>
      </c>
    </row>
    <row r="155" spans="1:14" ht="20.100000000000001" customHeight="1">
      <c r="A155" s="195">
        <v>4</v>
      </c>
      <c r="B155" s="189" t="s">
        <v>5071</v>
      </c>
      <c r="C155" s="189" t="s">
        <v>7478</v>
      </c>
      <c r="D155" s="190">
        <v>9781466695405</v>
      </c>
      <c r="E155" s="190">
        <v>9781466695399</v>
      </c>
      <c r="F155" s="191" t="s">
        <v>9883</v>
      </c>
      <c r="G155" s="192">
        <v>1</v>
      </c>
      <c r="H155" s="192">
        <v>1</v>
      </c>
      <c r="I155" s="189" t="s">
        <v>9884</v>
      </c>
      <c r="J155" s="189" t="s">
        <v>569</v>
      </c>
      <c r="K155" s="192">
        <v>2016</v>
      </c>
      <c r="L155" s="189" t="s">
        <v>7499</v>
      </c>
      <c r="M155" s="193"/>
      <c r="N155" s="209" t="s">
        <v>9885</v>
      </c>
    </row>
    <row r="156" spans="1:14" ht="20.100000000000001" customHeight="1">
      <c r="A156" s="195">
        <v>5</v>
      </c>
      <c r="B156" s="189" t="s">
        <v>5071</v>
      </c>
      <c r="C156" s="189" t="s">
        <v>7478</v>
      </c>
      <c r="D156" s="190">
        <v>9781522521464</v>
      </c>
      <c r="E156" s="190">
        <v>9781522521457</v>
      </c>
      <c r="F156" s="191" t="s">
        <v>9886</v>
      </c>
      <c r="G156" s="192">
        <v>1</v>
      </c>
      <c r="H156" s="192">
        <v>1</v>
      </c>
      <c r="I156" s="189" t="s">
        <v>9887</v>
      </c>
      <c r="J156" s="189" t="s">
        <v>569</v>
      </c>
      <c r="K156" s="192">
        <v>2017</v>
      </c>
      <c r="L156" s="189" t="s">
        <v>7499</v>
      </c>
      <c r="M156" s="193"/>
      <c r="N156" s="209" t="s">
        <v>9888</v>
      </c>
    </row>
    <row r="157" spans="1:14" ht="20.100000000000001" customHeight="1">
      <c r="A157" s="195">
        <v>7</v>
      </c>
      <c r="B157" s="189" t="s">
        <v>5071</v>
      </c>
      <c r="C157" s="189" t="s">
        <v>7478</v>
      </c>
      <c r="D157" s="190">
        <v>9781522594871</v>
      </c>
      <c r="E157" s="190">
        <v>9781522594857</v>
      </c>
      <c r="F157" s="191" t="s">
        <v>9891</v>
      </c>
      <c r="G157" s="192">
        <v>1</v>
      </c>
      <c r="H157" s="192">
        <v>1</v>
      </c>
      <c r="I157" s="189" t="s">
        <v>9892</v>
      </c>
      <c r="J157" s="189" t="s">
        <v>569</v>
      </c>
      <c r="K157" s="192">
        <v>2020</v>
      </c>
      <c r="L157" s="189" t="s">
        <v>7499</v>
      </c>
      <c r="M157" s="193"/>
      <c r="N157" s="209" t="s">
        <v>9893</v>
      </c>
    </row>
    <row r="158" spans="1:14" ht="20.100000000000001" customHeight="1">
      <c r="A158" s="195">
        <v>10</v>
      </c>
      <c r="B158" s="189" t="s">
        <v>5071</v>
      </c>
      <c r="C158" s="189" t="s">
        <v>7478</v>
      </c>
      <c r="D158" s="190">
        <v>9781799814108</v>
      </c>
      <c r="E158" s="190">
        <v>9781799814085</v>
      </c>
      <c r="F158" s="191" t="s">
        <v>9900</v>
      </c>
      <c r="G158" s="192">
        <v>1</v>
      </c>
      <c r="H158" s="192">
        <v>1</v>
      </c>
      <c r="I158" s="189" t="s">
        <v>9901</v>
      </c>
      <c r="J158" s="189" t="s">
        <v>569</v>
      </c>
      <c r="K158" s="192">
        <v>2020</v>
      </c>
      <c r="L158" s="189" t="s">
        <v>7499</v>
      </c>
      <c r="M158" s="193"/>
      <c r="N158" s="209" t="s">
        <v>9902</v>
      </c>
    </row>
    <row r="159" spans="1:14" ht="20.100000000000001" customHeight="1">
      <c r="A159" s="195">
        <v>8</v>
      </c>
      <c r="B159" s="189" t="s">
        <v>5071</v>
      </c>
      <c r="C159" s="189" t="s">
        <v>8174</v>
      </c>
      <c r="D159" s="190">
        <v>9781799810650</v>
      </c>
      <c r="E159" s="190">
        <v>9781799810636</v>
      </c>
      <c r="F159" s="191" t="s">
        <v>9894</v>
      </c>
      <c r="G159" s="192">
        <v>1</v>
      </c>
      <c r="H159" s="192">
        <v>1</v>
      </c>
      <c r="I159" s="189" t="s">
        <v>9895</v>
      </c>
      <c r="J159" s="189" t="s">
        <v>569</v>
      </c>
      <c r="K159" s="192">
        <v>2020</v>
      </c>
      <c r="L159" s="189" t="s">
        <v>7499</v>
      </c>
      <c r="M159" s="193"/>
      <c r="N159" s="209" t="s">
        <v>9896</v>
      </c>
    </row>
    <row r="160" spans="1:14" ht="20.100000000000001" customHeight="1">
      <c r="A160" s="194">
        <v>55</v>
      </c>
      <c r="B160" s="178" t="s">
        <v>5071</v>
      </c>
      <c r="C160" s="178" t="s">
        <v>9336</v>
      </c>
      <c r="D160" s="179">
        <v>9781799819189</v>
      </c>
      <c r="E160" s="179">
        <v>9781799819165</v>
      </c>
      <c r="F160" s="180" t="s">
        <v>9337</v>
      </c>
      <c r="G160" s="181">
        <v>1</v>
      </c>
      <c r="H160" s="181">
        <v>1</v>
      </c>
      <c r="I160" s="178" t="s">
        <v>9338</v>
      </c>
      <c r="J160" s="178" t="s">
        <v>569</v>
      </c>
      <c r="K160" s="181">
        <v>2020</v>
      </c>
      <c r="L160" s="178" t="s">
        <v>9186</v>
      </c>
      <c r="M160" s="182"/>
      <c r="N160" s="208" t="s">
        <v>9339</v>
      </c>
    </row>
    <row r="161" spans="1:14" ht="20.100000000000001" customHeight="1">
      <c r="A161" s="194">
        <v>92</v>
      </c>
      <c r="B161" s="178" t="s">
        <v>5071</v>
      </c>
      <c r="C161" s="178" t="s">
        <v>9336</v>
      </c>
      <c r="D161" s="179">
        <v>9781799849766</v>
      </c>
      <c r="E161" s="184">
        <v>9781799849759</v>
      </c>
      <c r="F161" s="180" t="s">
        <v>9442</v>
      </c>
      <c r="G161" s="181">
        <v>1</v>
      </c>
      <c r="H161" s="181">
        <v>1</v>
      </c>
      <c r="I161" s="178" t="s">
        <v>9443</v>
      </c>
      <c r="J161" s="178" t="s">
        <v>568</v>
      </c>
      <c r="K161" s="181">
        <v>2021</v>
      </c>
      <c r="L161" s="178" t="s">
        <v>9186</v>
      </c>
      <c r="M161" s="182"/>
      <c r="N161" s="208" t="s">
        <v>9444</v>
      </c>
    </row>
    <row r="162" spans="1:14" ht="20.100000000000001" customHeight="1">
      <c r="A162" s="194">
        <v>2</v>
      </c>
      <c r="B162" s="178" t="s">
        <v>5071</v>
      </c>
      <c r="C162" s="178" t="s">
        <v>9188</v>
      </c>
      <c r="D162" s="179">
        <v>9781522500957</v>
      </c>
      <c r="E162" s="179">
        <v>9781522500940</v>
      </c>
      <c r="F162" s="180" t="s">
        <v>9189</v>
      </c>
      <c r="G162" s="181">
        <v>1</v>
      </c>
      <c r="H162" s="181">
        <v>1</v>
      </c>
      <c r="I162" s="178" t="s">
        <v>9190</v>
      </c>
      <c r="J162" s="178" t="s">
        <v>568</v>
      </c>
      <c r="K162" s="181">
        <v>2016</v>
      </c>
      <c r="L162" s="178" t="s">
        <v>9186</v>
      </c>
      <c r="M162" s="182"/>
      <c r="N162" s="208" t="s">
        <v>9191</v>
      </c>
    </row>
    <row r="163" spans="1:14" ht="20.100000000000001" customHeight="1">
      <c r="A163" s="194">
        <v>4</v>
      </c>
      <c r="B163" s="178" t="s">
        <v>5071</v>
      </c>
      <c r="C163" s="178" t="s">
        <v>9188</v>
      </c>
      <c r="D163" s="179">
        <v>9781522520825</v>
      </c>
      <c r="E163" s="179">
        <v>9781522520818</v>
      </c>
      <c r="F163" s="180" t="s">
        <v>9195</v>
      </c>
      <c r="G163" s="181">
        <v>1</v>
      </c>
      <c r="H163" s="181">
        <v>1</v>
      </c>
      <c r="I163" s="178" t="s">
        <v>9196</v>
      </c>
      <c r="J163" s="178" t="s">
        <v>568</v>
      </c>
      <c r="K163" s="181">
        <v>2017</v>
      </c>
      <c r="L163" s="178" t="s">
        <v>9186</v>
      </c>
      <c r="M163" s="182"/>
      <c r="N163" s="208" t="s">
        <v>9197</v>
      </c>
    </row>
    <row r="164" spans="1:14" ht="20.100000000000001" customHeight="1">
      <c r="A164" s="194">
        <v>10</v>
      </c>
      <c r="B164" s="178" t="s">
        <v>5071</v>
      </c>
      <c r="C164" s="178" t="s">
        <v>9188</v>
      </c>
      <c r="D164" s="179">
        <v>9781522581109</v>
      </c>
      <c r="E164" s="179">
        <v>9781522581093</v>
      </c>
      <c r="F164" s="180" t="s">
        <v>9213</v>
      </c>
      <c r="G164" s="181">
        <v>1</v>
      </c>
      <c r="H164" s="181">
        <v>1</v>
      </c>
      <c r="I164" s="178" t="s">
        <v>5242</v>
      </c>
      <c r="J164" s="178" t="s">
        <v>568</v>
      </c>
      <c r="K164" s="181">
        <v>2019</v>
      </c>
      <c r="L164" s="178" t="s">
        <v>9186</v>
      </c>
      <c r="M164" s="182"/>
      <c r="N164" s="208" t="s">
        <v>9214</v>
      </c>
    </row>
    <row r="165" spans="1:14" ht="20.100000000000001" customHeight="1">
      <c r="A165" s="194">
        <v>11</v>
      </c>
      <c r="B165" s="178" t="s">
        <v>5071</v>
      </c>
      <c r="C165" s="178" t="s">
        <v>9188</v>
      </c>
      <c r="D165" s="179">
        <v>9781522571810</v>
      </c>
      <c r="E165" s="179">
        <v>9781522571803</v>
      </c>
      <c r="F165" s="180" t="s">
        <v>9215</v>
      </c>
      <c r="G165" s="181">
        <v>1</v>
      </c>
      <c r="H165" s="181">
        <v>1</v>
      </c>
      <c r="I165" s="178" t="s">
        <v>9216</v>
      </c>
      <c r="J165" s="178" t="s">
        <v>568</v>
      </c>
      <c r="K165" s="181">
        <v>2019</v>
      </c>
      <c r="L165" s="178" t="s">
        <v>9186</v>
      </c>
      <c r="M165" s="182"/>
      <c r="N165" s="208" t="s">
        <v>9217</v>
      </c>
    </row>
    <row r="166" spans="1:14" ht="20.100000000000001" customHeight="1">
      <c r="A166" s="194">
        <v>19</v>
      </c>
      <c r="B166" s="178" t="s">
        <v>5071</v>
      </c>
      <c r="C166" s="178" t="s">
        <v>9188</v>
      </c>
      <c r="D166" s="179">
        <v>9781522585497</v>
      </c>
      <c r="E166" s="179">
        <v>9781522585473</v>
      </c>
      <c r="F166" s="180" t="s">
        <v>9238</v>
      </c>
      <c r="G166" s="181">
        <v>1</v>
      </c>
      <c r="H166" s="181">
        <v>1</v>
      </c>
      <c r="I166" s="178" t="s">
        <v>5761</v>
      </c>
      <c r="J166" s="178" t="s">
        <v>568</v>
      </c>
      <c r="K166" s="181">
        <v>2019</v>
      </c>
      <c r="L166" s="178" t="s">
        <v>9186</v>
      </c>
      <c r="M166" s="182"/>
      <c r="N166" s="208" t="s">
        <v>9239</v>
      </c>
    </row>
    <row r="167" spans="1:14" ht="20.100000000000001" customHeight="1">
      <c r="A167" s="194">
        <v>28</v>
      </c>
      <c r="B167" s="178" t="s">
        <v>5071</v>
      </c>
      <c r="C167" s="178" t="s">
        <v>9188</v>
      </c>
      <c r="D167" s="179">
        <v>9781799801122</v>
      </c>
      <c r="E167" s="179">
        <v>9781799801115</v>
      </c>
      <c r="F167" s="180" t="s">
        <v>9263</v>
      </c>
      <c r="G167" s="181">
        <v>1</v>
      </c>
      <c r="H167" s="181">
        <v>1</v>
      </c>
      <c r="I167" s="178" t="s">
        <v>6994</v>
      </c>
      <c r="J167" s="178" t="s">
        <v>568</v>
      </c>
      <c r="K167" s="181">
        <v>2020</v>
      </c>
      <c r="L167" s="178" t="s">
        <v>9186</v>
      </c>
      <c r="M167" s="182"/>
      <c r="N167" s="208" t="s">
        <v>9264</v>
      </c>
    </row>
    <row r="168" spans="1:14" ht="20.100000000000001" customHeight="1">
      <c r="A168" s="194">
        <v>29</v>
      </c>
      <c r="B168" s="178" t="s">
        <v>5071</v>
      </c>
      <c r="C168" s="178" t="s">
        <v>9188</v>
      </c>
      <c r="D168" s="179">
        <v>9781522599302</v>
      </c>
      <c r="E168" s="179">
        <v>9781522599289</v>
      </c>
      <c r="F168" s="180" t="s">
        <v>9265</v>
      </c>
      <c r="G168" s="181">
        <v>1</v>
      </c>
      <c r="H168" s="181">
        <v>1</v>
      </c>
      <c r="I168" s="178" t="s">
        <v>9266</v>
      </c>
      <c r="J168" s="178" t="s">
        <v>568</v>
      </c>
      <c r="K168" s="181">
        <v>2020</v>
      </c>
      <c r="L168" s="178" t="s">
        <v>9186</v>
      </c>
      <c r="M168" s="182"/>
      <c r="N168" s="208" t="s">
        <v>9267</v>
      </c>
    </row>
    <row r="169" spans="1:14" ht="20.100000000000001" customHeight="1">
      <c r="A169" s="194">
        <v>32</v>
      </c>
      <c r="B169" s="178" t="s">
        <v>5071</v>
      </c>
      <c r="C169" s="178" t="s">
        <v>9188</v>
      </c>
      <c r="D169" s="179">
        <v>9781799803355</v>
      </c>
      <c r="E169" s="179">
        <v>9781799803331</v>
      </c>
      <c r="F169" s="180" t="s">
        <v>9273</v>
      </c>
      <c r="G169" s="181">
        <v>1</v>
      </c>
      <c r="H169" s="181">
        <v>1</v>
      </c>
      <c r="I169" s="178" t="s">
        <v>9274</v>
      </c>
      <c r="J169" s="178" t="s">
        <v>568</v>
      </c>
      <c r="K169" s="181">
        <v>2020</v>
      </c>
      <c r="L169" s="178" t="s">
        <v>9186</v>
      </c>
      <c r="M169" s="182"/>
      <c r="N169" s="208" t="s">
        <v>9275</v>
      </c>
    </row>
    <row r="170" spans="1:14" ht="20.100000000000001" customHeight="1">
      <c r="A170" s="194">
        <v>35</v>
      </c>
      <c r="B170" s="178" t="s">
        <v>5071</v>
      </c>
      <c r="C170" s="178" t="s">
        <v>9188</v>
      </c>
      <c r="D170" s="179">
        <v>9781799810957</v>
      </c>
      <c r="E170" s="179">
        <v>9781799810933</v>
      </c>
      <c r="F170" s="180" t="s">
        <v>9282</v>
      </c>
      <c r="G170" s="181">
        <v>1</v>
      </c>
      <c r="H170" s="181">
        <v>1</v>
      </c>
      <c r="I170" s="178" t="s">
        <v>9283</v>
      </c>
      <c r="J170" s="178" t="s">
        <v>568</v>
      </c>
      <c r="K170" s="181">
        <v>2020</v>
      </c>
      <c r="L170" s="178" t="s">
        <v>9186</v>
      </c>
      <c r="M170" s="182"/>
      <c r="N170" s="208" t="s">
        <v>9284</v>
      </c>
    </row>
    <row r="171" spans="1:14" ht="20.100000000000001" customHeight="1">
      <c r="A171" s="194">
        <v>39</v>
      </c>
      <c r="B171" s="178" t="s">
        <v>5071</v>
      </c>
      <c r="C171" s="178" t="s">
        <v>9188</v>
      </c>
      <c r="D171" s="179">
        <v>9781799811060</v>
      </c>
      <c r="E171" s="179">
        <v>9781799811046</v>
      </c>
      <c r="F171" s="180" t="s">
        <v>9293</v>
      </c>
      <c r="G171" s="181">
        <v>1</v>
      </c>
      <c r="H171" s="181">
        <v>1</v>
      </c>
      <c r="I171" s="178" t="s">
        <v>9294</v>
      </c>
      <c r="J171" s="178" t="s">
        <v>568</v>
      </c>
      <c r="K171" s="181">
        <v>2020</v>
      </c>
      <c r="L171" s="178" t="s">
        <v>9186</v>
      </c>
      <c r="M171" s="182"/>
      <c r="N171" s="208" t="s">
        <v>9295</v>
      </c>
    </row>
    <row r="172" spans="1:14" ht="20.100000000000001" customHeight="1">
      <c r="A172" s="194">
        <v>41</v>
      </c>
      <c r="B172" s="178" t="s">
        <v>5071</v>
      </c>
      <c r="C172" s="178" t="s">
        <v>9188</v>
      </c>
      <c r="D172" s="179">
        <v>9781522598398</v>
      </c>
      <c r="E172" s="179">
        <v>9781522598374</v>
      </c>
      <c r="F172" s="180" t="s">
        <v>9298</v>
      </c>
      <c r="G172" s="181">
        <v>1</v>
      </c>
      <c r="H172" s="181">
        <v>1</v>
      </c>
      <c r="I172" s="178" t="s">
        <v>9299</v>
      </c>
      <c r="J172" s="178" t="s">
        <v>568</v>
      </c>
      <c r="K172" s="181">
        <v>2020</v>
      </c>
      <c r="L172" s="178" t="s">
        <v>9186</v>
      </c>
      <c r="M172" s="182"/>
      <c r="N172" s="208" t="s">
        <v>9300</v>
      </c>
    </row>
    <row r="173" spans="1:14" ht="20.100000000000001" customHeight="1">
      <c r="A173" s="194">
        <v>57</v>
      </c>
      <c r="B173" s="178" t="s">
        <v>5071</v>
      </c>
      <c r="C173" s="178" t="s">
        <v>9188</v>
      </c>
      <c r="D173" s="179">
        <v>9781799834182</v>
      </c>
      <c r="E173" s="179">
        <v>9781799834168</v>
      </c>
      <c r="F173" s="180" t="s">
        <v>9342</v>
      </c>
      <c r="G173" s="181">
        <v>1</v>
      </c>
      <c r="H173" s="181">
        <v>1</v>
      </c>
      <c r="I173" s="178" t="s">
        <v>9343</v>
      </c>
      <c r="J173" s="178" t="s">
        <v>568</v>
      </c>
      <c r="K173" s="181">
        <v>2020</v>
      </c>
      <c r="L173" s="178" t="s">
        <v>9186</v>
      </c>
      <c r="M173" s="182"/>
      <c r="N173" s="208" t="s">
        <v>9344</v>
      </c>
    </row>
    <row r="174" spans="1:14" ht="20.100000000000001" customHeight="1">
      <c r="A174" s="194">
        <v>73</v>
      </c>
      <c r="B174" s="178" t="s">
        <v>5071</v>
      </c>
      <c r="C174" s="178" t="s">
        <v>9386</v>
      </c>
      <c r="D174" s="179">
        <v>9781799841630</v>
      </c>
      <c r="E174" s="179">
        <v>9781799841623</v>
      </c>
      <c r="F174" s="180" t="s">
        <v>9387</v>
      </c>
      <c r="G174" s="181">
        <v>1</v>
      </c>
      <c r="H174" s="181">
        <v>1</v>
      </c>
      <c r="I174" s="178" t="s">
        <v>9388</v>
      </c>
      <c r="J174" s="178" t="s">
        <v>1233</v>
      </c>
      <c r="K174" s="181">
        <v>2021</v>
      </c>
      <c r="L174" s="178" t="s">
        <v>9186</v>
      </c>
      <c r="M174" s="182"/>
      <c r="N174" s="208" t="s">
        <v>9389</v>
      </c>
    </row>
    <row r="175" spans="1:14" ht="20.100000000000001" customHeight="1">
      <c r="A175" s="194">
        <v>21</v>
      </c>
      <c r="B175" s="178" t="s">
        <v>5071</v>
      </c>
      <c r="C175" s="178" t="s">
        <v>9243</v>
      </c>
      <c r="D175" s="179">
        <v>9781522585374</v>
      </c>
      <c r="E175" s="179">
        <v>9781522585350</v>
      </c>
      <c r="F175" s="180" t="s">
        <v>9244</v>
      </c>
      <c r="G175" s="181">
        <v>1</v>
      </c>
      <c r="H175" s="181">
        <v>1</v>
      </c>
      <c r="I175" s="178" t="s">
        <v>9245</v>
      </c>
      <c r="J175" s="178" t="s">
        <v>569</v>
      </c>
      <c r="K175" s="181">
        <v>2019</v>
      </c>
      <c r="L175" s="178" t="s">
        <v>9186</v>
      </c>
      <c r="M175" s="182"/>
      <c r="N175" s="208" t="s">
        <v>9246</v>
      </c>
    </row>
    <row r="176" spans="1:14" ht="20.100000000000001" customHeight="1">
      <c r="A176" s="194">
        <v>22</v>
      </c>
      <c r="B176" s="178" t="s">
        <v>5071</v>
      </c>
      <c r="C176" s="178" t="s">
        <v>9243</v>
      </c>
      <c r="D176" s="179">
        <v>9781522593140</v>
      </c>
      <c r="E176" s="179">
        <v>9781522593126</v>
      </c>
      <c r="F176" s="180" t="s">
        <v>9247</v>
      </c>
      <c r="G176" s="181">
        <v>1</v>
      </c>
      <c r="H176" s="181">
        <v>1</v>
      </c>
      <c r="I176" s="178" t="s">
        <v>7554</v>
      </c>
      <c r="J176" s="178" t="s">
        <v>569</v>
      </c>
      <c r="K176" s="181">
        <v>2019</v>
      </c>
      <c r="L176" s="178" t="s">
        <v>9186</v>
      </c>
      <c r="M176" s="182"/>
      <c r="N176" s="208" t="s">
        <v>9248</v>
      </c>
    </row>
    <row r="177" spans="1:14" ht="20.100000000000001" customHeight="1">
      <c r="A177" s="194">
        <v>27</v>
      </c>
      <c r="B177" s="178" t="s">
        <v>5071</v>
      </c>
      <c r="C177" s="178" t="s">
        <v>9243</v>
      </c>
      <c r="D177" s="179">
        <v>9781522595564</v>
      </c>
      <c r="E177" s="179">
        <v>9781522595540</v>
      </c>
      <c r="F177" s="180" t="s">
        <v>9260</v>
      </c>
      <c r="G177" s="181">
        <v>1</v>
      </c>
      <c r="H177" s="181">
        <v>1</v>
      </c>
      <c r="I177" s="178" t="s">
        <v>9261</v>
      </c>
      <c r="J177" s="178" t="s">
        <v>569</v>
      </c>
      <c r="K177" s="181">
        <v>2020</v>
      </c>
      <c r="L177" s="178" t="s">
        <v>9186</v>
      </c>
      <c r="M177" s="182"/>
      <c r="N177" s="208" t="s">
        <v>9262</v>
      </c>
    </row>
    <row r="178" spans="1:14" ht="20.100000000000001" customHeight="1">
      <c r="A178" s="194">
        <v>33</v>
      </c>
      <c r="B178" s="178" t="s">
        <v>5071</v>
      </c>
      <c r="C178" s="178" t="s">
        <v>9243</v>
      </c>
      <c r="D178" s="179">
        <v>9781799802129</v>
      </c>
      <c r="E178" s="179">
        <v>9781799802105</v>
      </c>
      <c r="F178" s="180" t="s">
        <v>9276</v>
      </c>
      <c r="G178" s="181">
        <v>1</v>
      </c>
      <c r="H178" s="181">
        <v>1</v>
      </c>
      <c r="I178" s="178" t="s">
        <v>9277</v>
      </c>
      <c r="J178" s="178" t="s">
        <v>569</v>
      </c>
      <c r="K178" s="181">
        <v>2020</v>
      </c>
      <c r="L178" s="178" t="s">
        <v>9186</v>
      </c>
      <c r="M178" s="182"/>
      <c r="N178" s="208" t="s">
        <v>9278</v>
      </c>
    </row>
    <row r="179" spans="1:14" ht="20.100000000000001" customHeight="1">
      <c r="A179" s="194">
        <v>40</v>
      </c>
      <c r="B179" s="178" t="s">
        <v>5071</v>
      </c>
      <c r="C179" s="178" t="s">
        <v>9243</v>
      </c>
      <c r="D179" s="179">
        <v>9781799816539</v>
      </c>
      <c r="E179" s="179">
        <v>9781799816515</v>
      </c>
      <c r="F179" s="180" t="s">
        <v>9296</v>
      </c>
      <c r="G179" s="181">
        <v>1</v>
      </c>
      <c r="H179" s="181">
        <v>1</v>
      </c>
      <c r="I179" s="178" t="s">
        <v>1617</v>
      </c>
      <c r="J179" s="178" t="s">
        <v>569</v>
      </c>
      <c r="K179" s="181">
        <v>2020</v>
      </c>
      <c r="L179" s="178" t="s">
        <v>9186</v>
      </c>
      <c r="M179" s="182"/>
      <c r="N179" s="208" t="s">
        <v>9297</v>
      </c>
    </row>
    <row r="180" spans="1:14" ht="20.100000000000001" customHeight="1">
      <c r="A180" s="194">
        <v>42</v>
      </c>
      <c r="B180" s="178" t="s">
        <v>5071</v>
      </c>
      <c r="C180" s="178" t="s">
        <v>9243</v>
      </c>
      <c r="D180" s="179">
        <v>9781799811541</v>
      </c>
      <c r="E180" s="179">
        <v>9781799811527</v>
      </c>
      <c r="F180" s="180" t="s">
        <v>9301</v>
      </c>
      <c r="G180" s="181">
        <v>1</v>
      </c>
      <c r="H180" s="181">
        <v>1</v>
      </c>
      <c r="I180" s="178" t="s">
        <v>9302</v>
      </c>
      <c r="J180" s="178" t="s">
        <v>569</v>
      </c>
      <c r="K180" s="181">
        <v>2020</v>
      </c>
      <c r="L180" s="178" t="s">
        <v>9186</v>
      </c>
      <c r="M180" s="182"/>
      <c r="N180" s="208" t="s">
        <v>9303</v>
      </c>
    </row>
    <row r="181" spans="1:14" ht="20.100000000000001" customHeight="1">
      <c r="A181" s="194">
        <v>64</v>
      </c>
      <c r="B181" s="178" t="s">
        <v>5071</v>
      </c>
      <c r="C181" s="178" t="s">
        <v>9243</v>
      </c>
      <c r="D181" s="179">
        <v>9781799833574</v>
      </c>
      <c r="E181" s="179">
        <v>9781799833550</v>
      </c>
      <c r="F181" s="180" t="s">
        <v>9361</v>
      </c>
      <c r="G181" s="181">
        <v>1</v>
      </c>
      <c r="H181" s="181">
        <v>1</v>
      </c>
      <c r="I181" s="178" t="s">
        <v>1826</v>
      </c>
      <c r="J181" s="178" t="s">
        <v>569</v>
      </c>
      <c r="K181" s="181">
        <v>2020</v>
      </c>
      <c r="L181" s="178" t="s">
        <v>9186</v>
      </c>
      <c r="M181" s="182"/>
      <c r="N181" s="208" t="s">
        <v>9362</v>
      </c>
    </row>
    <row r="182" spans="1:14" ht="20.100000000000001" customHeight="1">
      <c r="A182" s="194">
        <v>84</v>
      </c>
      <c r="B182" s="178" t="s">
        <v>5071</v>
      </c>
      <c r="C182" s="178" t="s">
        <v>9243</v>
      </c>
      <c r="D182" s="179">
        <v>9781799847793</v>
      </c>
      <c r="E182" s="179">
        <v>9781799847786</v>
      </c>
      <c r="F182" s="180" t="s">
        <v>9418</v>
      </c>
      <c r="G182" s="181">
        <v>1</v>
      </c>
      <c r="H182" s="181">
        <v>1</v>
      </c>
      <c r="I182" s="178" t="s">
        <v>9419</v>
      </c>
      <c r="J182" s="178" t="s">
        <v>569</v>
      </c>
      <c r="K182" s="181">
        <v>2021</v>
      </c>
      <c r="L182" s="178" t="s">
        <v>9186</v>
      </c>
      <c r="M182" s="182"/>
      <c r="N182" s="208" t="s">
        <v>9420</v>
      </c>
    </row>
    <row r="183" spans="1:14" ht="20.100000000000001" customHeight="1">
      <c r="A183" s="194">
        <v>99</v>
      </c>
      <c r="B183" s="178" t="s">
        <v>5071</v>
      </c>
      <c r="C183" s="178" t="s">
        <v>9243</v>
      </c>
      <c r="D183" s="179">
        <v>9781799866077</v>
      </c>
      <c r="E183" s="179">
        <v>9781799866053</v>
      </c>
      <c r="F183" s="180" t="s">
        <v>9461</v>
      </c>
      <c r="G183" s="181">
        <v>1</v>
      </c>
      <c r="H183" s="181">
        <v>1</v>
      </c>
      <c r="I183" s="178" t="s">
        <v>9462</v>
      </c>
      <c r="J183" s="178" t="s">
        <v>569</v>
      </c>
      <c r="K183" s="181">
        <v>2021</v>
      </c>
      <c r="L183" s="178" t="s">
        <v>9186</v>
      </c>
      <c r="M183" s="182"/>
      <c r="N183" s="208" t="s">
        <v>9463</v>
      </c>
    </row>
    <row r="184" spans="1:14" ht="20.100000000000001" customHeight="1">
      <c r="A184" s="194">
        <v>116</v>
      </c>
      <c r="B184" s="178" t="s">
        <v>5071</v>
      </c>
      <c r="C184" s="178" t="s">
        <v>9243</v>
      </c>
      <c r="D184" s="179">
        <v>9781799857549</v>
      </c>
      <c r="E184" s="179">
        <v>9781799857532</v>
      </c>
      <c r="F184" s="180" t="s">
        <v>9509</v>
      </c>
      <c r="G184" s="181">
        <v>1</v>
      </c>
      <c r="H184" s="181">
        <v>1</v>
      </c>
      <c r="I184" s="178" t="s">
        <v>1617</v>
      </c>
      <c r="J184" s="178" t="s">
        <v>569</v>
      </c>
      <c r="K184" s="181">
        <v>2021</v>
      </c>
      <c r="L184" s="178" t="s">
        <v>9186</v>
      </c>
      <c r="M184" s="182"/>
      <c r="N184" s="208" t="s">
        <v>9510</v>
      </c>
    </row>
    <row r="185" spans="1:14" ht="20.100000000000001" customHeight="1">
      <c r="A185" s="195">
        <v>1</v>
      </c>
      <c r="B185" s="193" t="s">
        <v>5071</v>
      </c>
      <c r="C185" s="193" t="s">
        <v>7486</v>
      </c>
      <c r="D185" s="206">
        <v>9781522502623</v>
      </c>
      <c r="E185" s="206">
        <v>9781522502616</v>
      </c>
      <c r="F185" s="207" t="s">
        <v>9912</v>
      </c>
      <c r="G185" s="205">
        <v>1</v>
      </c>
      <c r="H185" s="205">
        <v>1</v>
      </c>
      <c r="I185" s="193" t="s">
        <v>9913</v>
      </c>
      <c r="J185" s="193" t="s">
        <v>569</v>
      </c>
      <c r="K185" s="205">
        <v>2016</v>
      </c>
      <c r="L185" s="193" t="s">
        <v>7499</v>
      </c>
      <c r="M185" s="193"/>
      <c r="N185" s="209" t="s">
        <v>9914</v>
      </c>
    </row>
    <row r="186" spans="1:14" ht="20.100000000000001" customHeight="1">
      <c r="A186" s="195">
        <v>6</v>
      </c>
      <c r="B186" s="189" t="s">
        <v>5071</v>
      </c>
      <c r="C186" s="189" t="s">
        <v>7486</v>
      </c>
      <c r="D186" s="190">
        <v>9781522581895</v>
      </c>
      <c r="E186" s="190">
        <v>9781522581888</v>
      </c>
      <c r="F186" s="191" t="s">
        <v>9889</v>
      </c>
      <c r="G186" s="192">
        <v>1</v>
      </c>
      <c r="H186" s="192">
        <v>1</v>
      </c>
      <c r="I186" s="189" t="s">
        <v>1809</v>
      </c>
      <c r="J186" s="189" t="s">
        <v>569</v>
      </c>
      <c r="K186" s="192">
        <v>2019</v>
      </c>
      <c r="L186" s="189" t="s">
        <v>7499</v>
      </c>
      <c r="M186" s="193"/>
      <c r="N186" s="209" t="s">
        <v>9890</v>
      </c>
    </row>
    <row r="187" spans="1:14" ht="20.100000000000001" customHeight="1">
      <c r="A187" s="194">
        <v>48</v>
      </c>
      <c r="B187" s="178" t="s">
        <v>5071</v>
      </c>
      <c r="C187" s="178" t="s">
        <v>9316</v>
      </c>
      <c r="D187" s="179">
        <v>9781799828259</v>
      </c>
      <c r="E187" s="179">
        <v>9781799828235</v>
      </c>
      <c r="F187" s="180" t="s">
        <v>9317</v>
      </c>
      <c r="G187" s="181">
        <v>1</v>
      </c>
      <c r="H187" s="181">
        <v>1</v>
      </c>
      <c r="I187" s="178" t="s">
        <v>6658</v>
      </c>
      <c r="J187" s="178" t="s">
        <v>569</v>
      </c>
      <c r="K187" s="181">
        <v>2020</v>
      </c>
      <c r="L187" s="178" t="s">
        <v>9186</v>
      </c>
      <c r="M187" s="182"/>
      <c r="N187" s="208" t="s">
        <v>9318</v>
      </c>
    </row>
    <row r="188" spans="1:14" ht="20.100000000000001" customHeight="1">
      <c r="A188" s="194">
        <v>58</v>
      </c>
      <c r="B188" s="178" t="s">
        <v>5071</v>
      </c>
      <c r="C188" s="178" t="s">
        <v>9316</v>
      </c>
      <c r="D188" s="179">
        <v>9781799836711</v>
      </c>
      <c r="E188" s="179">
        <v>9781799836698</v>
      </c>
      <c r="F188" s="180" t="s">
        <v>9345</v>
      </c>
      <c r="G188" s="181">
        <v>1</v>
      </c>
      <c r="H188" s="181">
        <v>1</v>
      </c>
      <c r="I188" s="178" t="s">
        <v>9346</v>
      </c>
      <c r="J188" s="178" t="s">
        <v>569</v>
      </c>
      <c r="K188" s="181">
        <v>2020</v>
      </c>
      <c r="L188" s="178" t="s">
        <v>9186</v>
      </c>
      <c r="M188" s="182"/>
      <c r="N188" s="208" t="s">
        <v>9347</v>
      </c>
    </row>
    <row r="189" spans="1:14" ht="20.100000000000001" customHeight="1">
      <c r="A189" s="194">
        <v>59</v>
      </c>
      <c r="B189" s="178" t="s">
        <v>5071</v>
      </c>
      <c r="C189" s="178" t="s">
        <v>9316</v>
      </c>
      <c r="D189" s="179">
        <v>9781799838364</v>
      </c>
      <c r="E189" s="179">
        <v>9781799838357</v>
      </c>
      <c r="F189" s="180" t="s">
        <v>9348</v>
      </c>
      <c r="G189" s="181">
        <v>1</v>
      </c>
      <c r="H189" s="181">
        <v>1</v>
      </c>
      <c r="I189" s="178" t="s">
        <v>9349</v>
      </c>
      <c r="J189" s="178" t="s">
        <v>569</v>
      </c>
      <c r="K189" s="181">
        <v>2020</v>
      </c>
      <c r="L189" s="178" t="s">
        <v>9186</v>
      </c>
      <c r="M189" s="182"/>
      <c r="N189" s="208" t="s">
        <v>9350</v>
      </c>
    </row>
    <row r="190" spans="1:14" ht="20.100000000000001" customHeight="1">
      <c r="A190" s="194">
        <v>60</v>
      </c>
      <c r="B190" s="178" t="s">
        <v>5071</v>
      </c>
      <c r="C190" s="178" t="s">
        <v>9316</v>
      </c>
      <c r="D190" s="179">
        <v>9781799842323</v>
      </c>
      <c r="E190" s="179">
        <v>9781799842316</v>
      </c>
      <c r="F190" s="180" t="s">
        <v>9351</v>
      </c>
      <c r="G190" s="181">
        <v>1</v>
      </c>
      <c r="H190" s="181">
        <v>1</v>
      </c>
      <c r="I190" s="178" t="s">
        <v>9352</v>
      </c>
      <c r="J190" s="178" t="s">
        <v>569</v>
      </c>
      <c r="K190" s="181">
        <v>2020</v>
      </c>
      <c r="L190" s="178" t="s">
        <v>9186</v>
      </c>
      <c r="M190" s="182"/>
      <c r="N190" s="208" t="s">
        <v>9353</v>
      </c>
    </row>
    <row r="191" spans="1:14" ht="20.100000000000001" customHeight="1">
      <c r="A191" s="194">
        <v>16</v>
      </c>
      <c r="B191" s="178" t="s">
        <v>5071</v>
      </c>
      <c r="C191" s="178" t="s">
        <v>9228</v>
      </c>
      <c r="D191" s="179">
        <v>9781522581048</v>
      </c>
      <c r="E191" s="179">
        <v>9781522581031</v>
      </c>
      <c r="F191" s="180" t="s">
        <v>9229</v>
      </c>
      <c r="G191" s="181">
        <v>1</v>
      </c>
      <c r="H191" s="181">
        <v>1</v>
      </c>
      <c r="I191" s="178" t="s">
        <v>9230</v>
      </c>
      <c r="J191" s="178" t="s">
        <v>568</v>
      </c>
      <c r="K191" s="181">
        <v>2019</v>
      </c>
      <c r="L191" s="178" t="s">
        <v>9186</v>
      </c>
      <c r="M191" s="182"/>
      <c r="N191" s="208" t="s">
        <v>9231</v>
      </c>
    </row>
    <row r="192" spans="1:14" ht="20.100000000000001" customHeight="1">
      <c r="A192" s="194">
        <v>20</v>
      </c>
      <c r="B192" s="178" t="s">
        <v>5071</v>
      </c>
      <c r="C192" s="178" t="s">
        <v>9228</v>
      </c>
      <c r="D192" s="179">
        <v>9781522592716</v>
      </c>
      <c r="E192" s="179">
        <v>9781522592693</v>
      </c>
      <c r="F192" s="180" t="s">
        <v>9240</v>
      </c>
      <c r="G192" s="181">
        <v>1</v>
      </c>
      <c r="H192" s="181">
        <v>1</v>
      </c>
      <c r="I192" s="178" t="s">
        <v>9241</v>
      </c>
      <c r="J192" s="178" t="s">
        <v>568</v>
      </c>
      <c r="K192" s="181">
        <v>2019</v>
      </c>
      <c r="L192" s="178" t="s">
        <v>9186</v>
      </c>
      <c r="M192" s="182"/>
      <c r="N192" s="208" t="s">
        <v>9242</v>
      </c>
    </row>
    <row r="193" spans="1:14" ht="20.100000000000001" customHeight="1">
      <c r="A193" s="194">
        <v>25</v>
      </c>
      <c r="B193" s="178" t="s">
        <v>5071</v>
      </c>
      <c r="C193" s="178" t="s">
        <v>9228</v>
      </c>
      <c r="D193" s="179">
        <v>9781522595687</v>
      </c>
      <c r="E193" s="179">
        <v>9781522595663</v>
      </c>
      <c r="F193" s="180" t="s">
        <v>9255</v>
      </c>
      <c r="G193" s="181">
        <v>1</v>
      </c>
      <c r="H193" s="181">
        <v>1</v>
      </c>
      <c r="I193" s="178" t="s">
        <v>9256</v>
      </c>
      <c r="J193" s="178" t="s">
        <v>568</v>
      </c>
      <c r="K193" s="181">
        <v>2020</v>
      </c>
      <c r="L193" s="178" t="s">
        <v>9186</v>
      </c>
      <c r="M193" s="182"/>
      <c r="N193" s="208" t="s">
        <v>9257</v>
      </c>
    </row>
    <row r="194" spans="1:14" ht="20.100000000000001" customHeight="1">
      <c r="A194" s="194">
        <v>34</v>
      </c>
      <c r="B194" s="178" t="s">
        <v>5071</v>
      </c>
      <c r="C194" s="178" t="s">
        <v>9228</v>
      </c>
      <c r="D194" s="179">
        <v>9781799810353</v>
      </c>
      <c r="E194" s="179">
        <v>9781799810339</v>
      </c>
      <c r="F194" s="180" t="s">
        <v>9279</v>
      </c>
      <c r="G194" s="181">
        <v>1</v>
      </c>
      <c r="H194" s="181">
        <v>1</v>
      </c>
      <c r="I194" s="178" t="s">
        <v>9280</v>
      </c>
      <c r="J194" s="178" t="s">
        <v>568</v>
      </c>
      <c r="K194" s="181">
        <v>2020</v>
      </c>
      <c r="L194" s="178" t="s">
        <v>9186</v>
      </c>
      <c r="M194" s="182"/>
      <c r="N194" s="208" t="s">
        <v>9281</v>
      </c>
    </row>
    <row r="195" spans="1:14" ht="20.100000000000001" customHeight="1">
      <c r="A195" s="194">
        <v>43</v>
      </c>
      <c r="B195" s="178" t="s">
        <v>5071</v>
      </c>
      <c r="C195" s="178" t="s">
        <v>9228</v>
      </c>
      <c r="D195" s="179">
        <v>9781799802204</v>
      </c>
      <c r="E195" s="179">
        <v>9781799802181</v>
      </c>
      <c r="F195" s="180" t="s">
        <v>9304</v>
      </c>
      <c r="G195" s="181">
        <v>1</v>
      </c>
      <c r="H195" s="181">
        <v>1</v>
      </c>
      <c r="I195" s="178" t="s">
        <v>7942</v>
      </c>
      <c r="J195" s="178" t="s">
        <v>568</v>
      </c>
      <c r="K195" s="181">
        <v>2020</v>
      </c>
      <c r="L195" s="178" t="s">
        <v>9186</v>
      </c>
      <c r="M195" s="183" t="s">
        <v>9193</v>
      </c>
      <c r="N195" s="208" t="s">
        <v>9305</v>
      </c>
    </row>
    <row r="196" spans="1:14" ht="20.100000000000001" customHeight="1">
      <c r="A196" s="194">
        <v>44</v>
      </c>
      <c r="B196" s="178" t="s">
        <v>5071</v>
      </c>
      <c r="C196" s="178" t="s">
        <v>9228</v>
      </c>
      <c r="D196" s="179">
        <v>9781799812470</v>
      </c>
      <c r="E196" s="179">
        <v>9781799812456</v>
      </c>
      <c r="F196" s="180" t="s">
        <v>9306</v>
      </c>
      <c r="G196" s="181">
        <v>1</v>
      </c>
      <c r="H196" s="181">
        <v>1</v>
      </c>
      <c r="I196" s="178" t="s">
        <v>9307</v>
      </c>
      <c r="J196" s="178" t="s">
        <v>568</v>
      </c>
      <c r="K196" s="181">
        <v>2020</v>
      </c>
      <c r="L196" s="178" t="s">
        <v>9186</v>
      </c>
      <c r="M196" s="182"/>
      <c r="N196" s="208" t="s">
        <v>9308</v>
      </c>
    </row>
    <row r="197" spans="1:14" ht="20.100000000000001" customHeight="1">
      <c r="A197" s="194">
        <v>45</v>
      </c>
      <c r="B197" s="178" t="s">
        <v>5071</v>
      </c>
      <c r="C197" s="178" t="s">
        <v>9228</v>
      </c>
      <c r="D197" s="179">
        <v>9781799822592</v>
      </c>
      <c r="E197" s="179">
        <v>9781799822578</v>
      </c>
      <c r="F197" s="180" t="s">
        <v>9309</v>
      </c>
      <c r="G197" s="181">
        <v>1</v>
      </c>
      <c r="H197" s="181">
        <v>1</v>
      </c>
      <c r="I197" s="178" t="s">
        <v>9</v>
      </c>
      <c r="J197" s="178" t="s">
        <v>568</v>
      </c>
      <c r="K197" s="181">
        <v>2020</v>
      </c>
      <c r="L197" s="178" t="s">
        <v>9186</v>
      </c>
      <c r="M197" s="182"/>
      <c r="N197" s="208" t="s">
        <v>9310</v>
      </c>
    </row>
    <row r="198" spans="1:14" ht="20.100000000000001" customHeight="1">
      <c r="A198" s="194">
        <v>78</v>
      </c>
      <c r="B198" s="178" t="s">
        <v>5071</v>
      </c>
      <c r="C198" s="178" t="s">
        <v>9228</v>
      </c>
      <c r="D198" s="179">
        <v>9781799843917</v>
      </c>
      <c r="E198" s="179">
        <v>9781799843900</v>
      </c>
      <c r="F198" s="180" t="s">
        <v>9401</v>
      </c>
      <c r="G198" s="181">
        <v>1</v>
      </c>
      <c r="H198" s="181">
        <v>1</v>
      </c>
      <c r="I198" s="178" t="s">
        <v>9402</v>
      </c>
      <c r="J198" s="178" t="s">
        <v>568</v>
      </c>
      <c r="K198" s="181">
        <v>2021</v>
      </c>
      <c r="L198" s="178" t="s">
        <v>9186</v>
      </c>
      <c r="M198" s="182"/>
      <c r="N198" s="208" t="s">
        <v>9403</v>
      </c>
    </row>
    <row r="199" spans="1:14" ht="20.100000000000001" customHeight="1">
      <c r="A199" s="194">
        <v>85</v>
      </c>
      <c r="B199" s="178" t="s">
        <v>5071</v>
      </c>
      <c r="C199" s="178" t="s">
        <v>9228</v>
      </c>
      <c r="D199" s="179">
        <v>9781799848066</v>
      </c>
      <c r="E199" s="179">
        <v>9781799848059</v>
      </c>
      <c r="F199" s="180" t="s">
        <v>9421</v>
      </c>
      <c r="G199" s="181">
        <v>1</v>
      </c>
      <c r="H199" s="181">
        <v>1</v>
      </c>
      <c r="I199" s="178" t="s">
        <v>9422</v>
      </c>
      <c r="J199" s="178" t="s">
        <v>568</v>
      </c>
      <c r="K199" s="181">
        <v>2021</v>
      </c>
      <c r="L199" s="178" t="s">
        <v>9186</v>
      </c>
      <c r="M199" s="182"/>
      <c r="N199" s="208" t="s">
        <v>9423</v>
      </c>
    </row>
    <row r="200" spans="1:14" ht="20.100000000000001" customHeight="1">
      <c r="A200" s="194">
        <v>103</v>
      </c>
      <c r="B200" s="178" t="s">
        <v>5071</v>
      </c>
      <c r="C200" s="178" t="s">
        <v>9228</v>
      </c>
      <c r="D200" s="179">
        <v>9781799871125</v>
      </c>
      <c r="E200" s="179">
        <v>9781799871101</v>
      </c>
      <c r="F200" s="180" t="s">
        <v>9473</v>
      </c>
      <c r="G200" s="181">
        <v>1</v>
      </c>
      <c r="H200" s="181">
        <v>1</v>
      </c>
      <c r="I200" s="178" t="s">
        <v>9474</v>
      </c>
      <c r="J200" s="178" t="s">
        <v>568</v>
      </c>
      <c r="K200" s="181">
        <v>2021</v>
      </c>
      <c r="L200" s="178" t="s">
        <v>9186</v>
      </c>
      <c r="M200" s="182"/>
      <c r="N200" s="208" t="s">
        <v>9475</v>
      </c>
    </row>
    <row r="201" spans="1:14" ht="20.100000000000001" customHeight="1">
      <c r="A201" s="194">
        <v>7</v>
      </c>
      <c r="B201" s="178" t="s">
        <v>5071</v>
      </c>
      <c r="C201" s="178" t="s">
        <v>9205</v>
      </c>
      <c r="D201" s="179">
        <v>9781522535010</v>
      </c>
      <c r="E201" s="179">
        <v>9781522535003</v>
      </c>
      <c r="F201" s="180" t="s">
        <v>9206</v>
      </c>
      <c r="G201" s="181">
        <v>1</v>
      </c>
      <c r="H201" s="181">
        <v>1</v>
      </c>
      <c r="I201" s="178" t="s">
        <v>2377</v>
      </c>
      <c r="J201" s="178" t="s">
        <v>568</v>
      </c>
      <c r="K201" s="181">
        <v>2018</v>
      </c>
      <c r="L201" s="178" t="s">
        <v>9186</v>
      </c>
      <c r="M201" s="182"/>
      <c r="N201" s="208" t="s">
        <v>9207</v>
      </c>
    </row>
    <row r="202" spans="1:14" ht="20.100000000000001" customHeight="1">
      <c r="A202" s="194">
        <v>12</v>
      </c>
      <c r="B202" s="178" t="s">
        <v>5071</v>
      </c>
      <c r="C202" s="178" t="s">
        <v>9205</v>
      </c>
      <c r="D202" s="179">
        <v>9781522561347</v>
      </c>
      <c r="E202" s="179">
        <v>9781522561330</v>
      </c>
      <c r="F202" s="180" t="s">
        <v>9218</v>
      </c>
      <c r="G202" s="181">
        <v>1</v>
      </c>
      <c r="H202" s="181">
        <v>1</v>
      </c>
      <c r="I202" s="178" t="s">
        <v>8789</v>
      </c>
      <c r="J202" s="178" t="s">
        <v>561</v>
      </c>
      <c r="K202" s="181">
        <v>2019</v>
      </c>
      <c r="L202" s="178" t="s">
        <v>9186</v>
      </c>
      <c r="M202" s="182"/>
      <c r="N202" s="208" t="s">
        <v>9219</v>
      </c>
    </row>
    <row r="203" spans="1:14" ht="20.100000000000001" customHeight="1">
      <c r="A203" s="194">
        <v>14</v>
      </c>
      <c r="B203" s="178" t="s">
        <v>5071</v>
      </c>
      <c r="C203" s="178" t="s">
        <v>9205</v>
      </c>
      <c r="D203" s="179">
        <v>9781522575658</v>
      </c>
      <c r="E203" s="179">
        <v>9781522575641</v>
      </c>
      <c r="F203" s="180" t="s">
        <v>9222</v>
      </c>
      <c r="G203" s="181">
        <v>1</v>
      </c>
      <c r="H203" s="181">
        <v>1</v>
      </c>
      <c r="I203" s="178" t="s">
        <v>9223</v>
      </c>
      <c r="J203" s="178" t="s">
        <v>568</v>
      </c>
      <c r="K203" s="181">
        <v>2019</v>
      </c>
      <c r="L203" s="178" t="s">
        <v>9186</v>
      </c>
      <c r="M203" s="182"/>
      <c r="N203" s="208" t="s">
        <v>9224</v>
      </c>
    </row>
    <row r="204" spans="1:14" ht="20.100000000000001" customHeight="1">
      <c r="A204" s="194">
        <v>24</v>
      </c>
      <c r="B204" s="178" t="s">
        <v>5071</v>
      </c>
      <c r="C204" s="178" t="s">
        <v>9205</v>
      </c>
      <c r="D204" s="179">
        <v>9781799832324</v>
      </c>
      <c r="E204" s="179">
        <v>9781799832300</v>
      </c>
      <c r="F204" s="180" t="s">
        <v>9253</v>
      </c>
      <c r="G204" s="181">
        <v>1</v>
      </c>
      <c r="H204" s="181">
        <v>1</v>
      </c>
      <c r="I204" s="178" t="s">
        <v>8007</v>
      </c>
      <c r="J204" s="178" t="s">
        <v>568</v>
      </c>
      <c r="K204" s="181">
        <v>2020</v>
      </c>
      <c r="L204" s="178" t="s">
        <v>9186</v>
      </c>
      <c r="M204" s="182"/>
      <c r="N204" s="208" t="s">
        <v>9254</v>
      </c>
    </row>
    <row r="205" spans="1:14" ht="20.100000000000001" customHeight="1">
      <c r="A205" s="194">
        <v>26</v>
      </c>
      <c r="B205" s="178" t="s">
        <v>5071</v>
      </c>
      <c r="C205" s="178" t="s">
        <v>9205</v>
      </c>
      <c r="D205" s="179">
        <v>9781799800569</v>
      </c>
      <c r="E205" s="179">
        <v>9781799800545</v>
      </c>
      <c r="F205" s="180" t="s">
        <v>9258</v>
      </c>
      <c r="G205" s="181">
        <v>1</v>
      </c>
      <c r="H205" s="181">
        <v>1</v>
      </c>
      <c r="I205" s="178" t="s">
        <v>8940</v>
      </c>
      <c r="J205" s="178" t="s">
        <v>568</v>
      </c>
      <c r="K205" s="181">
        <v>2020</v>
      </c>
      <c r="L205" s="178" t="s">
        <v>9186</v>
      </c>
      <c r="M205" s="182"/>
      <c r="N205" s="208" t="s">
        <v>9259</v>
      </c>
    </row>
    <row r="206" spans="1:14" ht="20.100000000000001" customHeight="1">
      <c r="A206" s="194">
        <v>47</v>
      </c>
      <c r="B206" s="178" t="s">
        <v>5071</v>
      </c>
      <c r="C206" s="178" t="s">
        <v>9205</v>
      </c>
      <c r="D206" s="179">
        <v>9781799824527</v>
      </c>
      <c r="E206" s="179">
        <v>9781799824510</v>
      </c>
      <c r="F206" s="180" t="s">
        <v>9314</v>
      </c>
      <c r="G206" s="181">
        <v>1</v>
      </c>
      <c r="H206" s="181">
        <v>1</v>
      </c>
      <c r="I206" s="178" t="s">
        <v>3446</v>
      </c>
      <c r="J206" s="178" t="s">
        <v>561</v>
      </c>
      <c r="K206" s="181">
        <v>2020</v>
      </c>
      <c r="L206" s="178" t="s">
        <v>9186</v>
      </c>
      <c r="M206" s="182"/>
      <c r="N206" s="208" t="s">
        <v>9315</v>
      </c>
    </row>
    <row r="207" spans="1:14" ht="20.100000000000001" customHeight="1">
      <c r="A207" s="194">
        <v>50</v>
      </c>
      <c r="B207" s="178" t="s">
        <v>5071</v>
      </c>
      <c r="C207" s="178" t="s">
        <v>9205</v>
      </c>
      <c r="D207" s="179">
        <v>9781799821304</v>
      </c>
      <c r="E207" s="179">
        <v>9781799821281</v>
      </c>
      <c r="F207" s="180" t="s">
        <v>9322</v>
      </c>
      <c r="G207" s="181">
        <v>1</v>
      </c>
      <c r="H207" s="181">
        <v>1</v>
      </c>
      <c r="I207" s="178" t="s">
        <v>9323</v>
      </c>
      <c r="J207" s="178" t="s">
        <v>568</v>
      </c>
      <c r="K207" s="181">
        <v>2020</v>
      </c>
      <c r="L207" s="178" t="s">
        <v>9186</v>
      </c>
      <c r="M207" s="182"/>
      <c r="N207" s="208" t="s">
        <v>9324</v>
      </c>
    </row>
    <row r="208" spans="1:14" ht="20.100000000000001" customHeight="1">
      <c r="A208" s="194">
        <v>54</v>
      </c>
      <c r="B208" s="178" t="s">
        <v>5071</v>
      </c>
      <c r="C208" s="178" t="s">
        <v>9205</v>
      </c>
      <c r="D208" s="179">
        <v>9781799833499</v>
      </c>
      <c r="E208" s="179">
        <v>9781799833475</v>
      </c>
      <c r="F208" s="180" t="s">
        <v>9333</v>
      </c>
      <c r="G208" s="181">
        <v>1</v>
      </c>
      <c r="H208" s="181">
        <v>1</v>
      </c>
      <c r="I208" s="178" t="s">
        <v>9334</v>
      </c>
      <c r="J208" s="178" t="s">
        <v>568</v>
      </c>
      <c r="K208" s="181">
        <v>2020</v>
      </c>
      <c r="L208" s="178" t="s">
        <v>9186</v>
      </c>
      <c r="M208" s="182"/>
      <c r="N208" s="208" t="s">
        <v>9335</v>
      </c>
    </row>
    <row r="209" spans="1:14" ht="20.100000000000001" customHeight="1">
      <c r="A209" s="194">
        <v>61</v>
      </c>
      <c r="B209" s="178" t="s">
        <v>5071</v>
      </c>
      <c r="C209" s="178" t="s">
        <v>9205</v>
      </c>
      <c r="D209" s="179">
        <v>9781799851738</v>
      </c>
      <c r="E209" s="179">
        <v>9781799851714</v>
      </c>
      <c r="F209" s="180" t="s">
        <v>9354</v>
      </c>
      <c r="G209" s="181">
        <v>1</v>
      </c>
      <c r="H209" s="181">
        <v>1</v>
      </c>
      <c r="I209" s="178" t="s">
        <v>8928</v>
      </c>
      <c r="J209" s="178" t="s">
        <v>568</v>
      </c>
      <c r="K209" s="181">
        <v>2020</v>
      </c>
      <c r="L209" s="178" t="s">
        <v>9186</v>
      </c>
      <c r="M209" s="182"/>
      <c r="N209" s="208" t="s">
        <v>9355</v>
      </c>
    </row>
    <row r="210" spans="1:14" ht="20.100000000000001" customHeight="1">
      <c r="A210" s="194">
        <v>63</v>
      </c>
      <c r="B210" s="178" t="s">
        <v>5071</v>
      </c>
      <c r="C210" s="178" t="s">
        <v>9205</v>
      </c>
      <c r="D210" s="179">
        <v>9781522582670</v>
      </c>
      <c r="E210" s="179">
        <v>9781522582663</v>
      </c>
      <c r="F210" s="180" t="s">
        <v>9358</v>
      </c>
      <c r="G210" s="181">
        <v>1</v>
      </c>
      <c r="H210" s="181">
        <v>1</v>
      </c>
      <c r="I210" s="178" t="s">
        <v>9359</v>
      </c>
      <c r="J210" s="178" t="s">
        <v>568</v>
      </c>
      <c r="K210" s="181">
        <v>2021</v>
      </c>
      <c r="L210" s="178" t="s">
        <v>9186</v>
      </c>
      <c r="M210" s="182"/>
      <c r="N210" s="208" t="s">
        <v>9360</v>
      </c>
    </row>
    <row r="211" spans="1:14" ht="20.100000000000001" customHeight="1">
      <c r="A211" s="194">
        <v>66</v>
      </c>
      <c r="B211" s="178" t="s">
        <v>5071</v>
      </c>
      <c r="C211" s="178" t="s">
        <v>9205</v>
      </c>
      <c r="D211" s="179">
        <v>9781799837466</v>
      </c>
      <c r="E211" s="179">
        <v>9781799837442</v>
      </c>
      <c r="F211" s="180" t="s">
        <v>9366</v>
      </c>
      <c r="G211" s="181">
        <v>1</v>
      </c>
      <c r="H211" s="181">
        <v>1</v>
      </c>
      <c r="I211" s="178" t="s">
        <v>161</v>
      </c>
      <c r="J211" s="178" t="s">
        <v>568</v>
      </c>
      <c r="K211" s="181">
        <v>2020</v>
      </c>
      <c r="L211" s="178" t="s">
        <v>9186</v>
      </c>
      <c r="M211" s="182"/>
      <c r="N211" s="208" t="s">
        <v>9367</v>
      </c>
    </row>
    <row r="212" spans="1:14" ht="20.100000000000001" customHeight="1">
      <c r="A212" s="194">
        <v>71</v>
      </c>
      <c r="B212" s="178" t="s">
        <v>5071</v>
      </c>
      <c r="C212" s="178" t="s">
        <v>9205</v>
      </c>
      <c r="D212" s="179">
        <v>9781799841005</v>
      </c>
      <c r="E212" s="179">
        <v>9781799840992</v>
      </c>
      <c r="F212" s="180" t="s">
        <v>9380</v>
      </c>
      <c r="G212" s="181">
        <v>1</v>
      </c>
      <c r="H212" s="181">
        <v>1</v>
      </c>
      <c r="I212" s="178" t="s">
        <v>9381</v>
      </c>
      <c r="J212" s="178" t="s">
        <v>568</v>
      </c>
      <c r="K212" s="181">
        <v>2021</v>
      </c>
      <c r="L212" s="178" t="s">
        <v>9186</v>
      </c>
      <c r="M212" s="182"/>
      <c r="N212" s="208" t="s">
        <v>9382</v>
      </c>
    </row>
    <row r="213" spans="1:14" ht="20.100000000000001" customHeight="1">
      <c r="A213" s="194">
        <v>74</v>
      </c>
      <c r="B213" s="178" t="s">
        <v>5071</v>
      </c>
      <c r="C213" s="178" t="s">
        <v>9205</v>
      </c>
      <c r="D213" s="179">
        <v>9781799841814</v>
      </c>
      <c r="E213" s="179">
        <v>9781799841807</v>
      </c>
      <c r="F213" s="180" t="s">
        <v>9390</v>
      </c>
      <c r="G213" s="181">
        <v>1</v>
      </c>
      <c r="H213" s="181">
        <v>1</v>
      </c>
      <c r="I213" s="178" t="s">
        <v>9391</v>
      </c>
      <c r="J213" s="178" t="s">
        <v>568</v>
      </c>
      <c r="K213" s="181">
        <v>2021</v>
      </c>
      <c r="L213" s="178" t="s">
        <v>9186</v>
      </c>
      <c r="M213" s="182"/>
      <c r="N213" s="208" t="s">
        <v>9392</v>
      </c>
    </row>
    <row r="214" spans="1:14" ht="20.100000000000001" customHeight="1">
      <c r="A214" s="194">
        <v>76</v>
      </c>
      <c r="B214" s="178" t="s">
        <v>5071</v>
      </c>
      <c r="C214" s="178" t="s">
        <v>9205</v>
      </c>
      <c r="D214" s="179">
        <v>9781799842538</v>
      </c>
      <c r="E214" s="179">
        <v>9781799842521</v>
      </c>
      <c r="F214" s="180" t="s">
        <v>9396</v>
      </c>
      <c r="G214" s="181">
        <v>1</v>
      </c>
      <c r="H214" s="181">
        <v>1</v>
      </c>
      <c r="I214" s="178" t="s">
        <v>9397</v>
      </c>
      <c r="J214" s="178" t="s">
        <v>568</v>
      </c>
      <c r="K214" s="181">
        <v>2020</v>
      </c>
      <c r="L214" s="178" t="s">
        <v>9186</v>
      </c>
      <c r="M214" s="182"/>
      <c r="N214" s="208" t="s">
        <v>9398</v>
      </c>
    </row>
    <row r="215" spans="1:14" ht="20.100000000000001" customHeight="1">
      <c r="A215" s="194">
        <v>83</v>
      </c>
      <c r="B215" s="178" t="s">
        <v>5071</v>
      </c>
      <c r="C215" s="178" t="s">
        <v>9205</v>
      </c>
      <c r="D215" s="179">
        <v>9781799847465</v>
      </c>
      <c r="E215" s="179">
        <v>9781799847458</v>
      </c>
      <c r="F215" s="180" t="s">
        <v>9416</v>
      </c>
      <c r="G215" s="181">
        <v>1</v>
      </c>
      <c r="H215" s="181">
        <v>1</v>
      </c>
      <c r="I215" s="178" t="s">
        <v>5806</v>
      </c>
      <c r="J215" s="178" t="s">
        <v>568</v>
      </c>
      <c r="K215" s="181">
        <v>2021</v>
      </c>
      <c r="L215" s="178" t="s">
        <v>9186</v>
      </c>
      <c r="M215" s="182"/>
      <c r="N215" s="208" t="s">
        <v>9417</v>
      </c>
    </row>
    <row r="216" spans="1:14" ht="20.100000000000001" customHeight="1">
      <c r="A216" s="194">
        <v>86</v>
      </c>
      <c r="B216" s="178" t="s">
        <v>5071</v>
      </c>
      <c r="C216" s="178" t="s">
        <v>9205</v>
      </c>
      <c r="D216" s="179">
        <v>9781799848271</v>
      </c>
      <c r="E216" s="179">
        <v>9781799848264</v>
      </c>
      <c r="F216" s="180" t="s">
        <v>9424</v>
      </c>
      <c r="G216" s="181">
        <v>1</v>
      </c>
      <c r="H216" s="181">
        <v>1</v>
      </c>
      <c r="I216" s="178" t="s">
        <v>9425</v>
      </c>
      <c r="J216" s="178" t="s">
        <v>568</v>
      </c>
      <c r="K216" s="181">
        <v>2021</v>
      </c>
      <c r="L216" s="178" t="s">
        <v>9186</v>
      </c>
      <c r="M216" s="182"/>
      <c r="N216" s="208" t="s">
        <v>9426</v>
      </c>
    </row>
    <row r="217" spans="1:14" ht="20.100000000000001" customHeight="1">
      <c r="A217" s="194">
        <v>89</v>
      </c>
      <c r="B217" s="178" t="s">
        <v>5071</v>
      </c>
      <c r="C217" s="178" t="s">
        <v>9205</v>
      </c>
      <c r="D217" s="179">
        <v>9781799849131</v>
      </c>
      <c r="E217" s="179">
        <v>9781799849124</v>
      </c>
      <c r="F217" s="180" t="s">
        <v>9433</v>
      </c>
      <c r="G217" s="181">
        <v>1</v>
      </c>
      <c r="H217" s="181">
        <v>1</v>
      </c>
      <c r="I217" s="178" t="s">
        <v>9434</v>
      </c>
      <c r="J217" s="178" t="s">
        <v>1233</v>
      </c>
      <c r="K217" s="181">
        <v>2021</v>
      </c>
      <c r="L217" s="178" t="s">
        <v>9186</v>
      </c>
      <c r="M217" s="182"/>
      <c r="N217" s="208" t="s">
        <v>9435</v>
      </c>
    </row>
    <row r="218" spans="1:14" ht="20.100000000000001" customHeight="1">
      <c r="A218" s="196">
        <v>93</v>
      </c>
      <c r="B218" s="185" t="s">
        <v>5071</v>
      </c>
      <c r="C218" s="185" t="s">
        <v>9205</v>
      </c>
      <c r="D218" s="184">
        <v>9781799850373</v>
      </c>
      <c r="E218" s="184">
        <v>9781799850366</v>
      </c>
      <c r="F218" s="186" t="s">
        <v>9445</v>
      </c>
      <c r="G218" s="187">
        <v>1</v>
      </c>
      <c r="H218" s="187">
        <v>1</v>
      </c>
      <c r="I218" s="185" t="s">
        <v>9446</v>
      </c>
      <c r="J218" s="185" t="s">
        <v>568</v>
      </c>
      <c r="K218" s="187">
        <v>2021</v>
      </c>
      <c r="L218" s="185" t="s">
        <v>9186</v>
      </c>
      <c r="M218" s="188"/>
      <c r="N218" s="210" t="s">
        <v>9447</v>
      </c>
    </row>
    <row r="219" spans="1:14" ht="20.100000000000001" customHeight="1">
      <c r="A219" s="194">
        <v>94</v>
      </c>
      <c r="B219" s="178" t="s">
        <v>5071</v>
      </c>
      <c r="C219" s="178" t="s">
        <v>9205</v>
      </c>
      <c r="D219" s="179">
        <v>9781799850410</v>
      </c>
      <c r="E219" s="179">
        <v>9781799850403</v>
      </c>
      <c r="F219" s="180" t="s">
        <v>9448</v>
      </c>
      <c r="G219" s="181">
        <v>1</v>
      </c>
      <c r="H219" s="181">
        <v>1</v>
      </c>
      <c r="I219" s="178" t="s">
        <v>3900</v>
      </c>
      <c r="J219" s="178" t="s">
        <v>568</v>
      </c>
      <c r="K219" s="181">
        <v>2021</v>
      </c>
      <c r="L219" s="178" t="s">
        <v>9186</v>
      </c>
      <c r="M219" s="182"/>
      <c r="N219" s="208" t="s">
        <v>9449</v>
      </c>
    </row>
    <row r="220" spans="1:14" ht="20.100000000000001" customHeight="1">
      <c r="A220" s="194">
        <v>101</v>
      </c>
      <c r="B220" s="178" t="s">
        <v>5071</v>
      </c>
      <c r="C220" s="178" t="s">
        <v>9205</v>
      </c>
      <c r="D220" s="179">
        <v>9781799866718</v>
      </c>
      <c r="E220" s="179">
        <v>9781799866695</v>
      </c>
      <c r="F220" s="180" t="s">
        <v>9467</v>
      </c>
      <c r="G220" s="181">
        <v>1</v>
      </c>
      <c r="H220" s="181">
        <v>1</v>
      </c>
      <c r="I220" s="178" t="s">
        <v>9468</v>
      </c>
      <c r="J220" s="178" t="s">
        <v>568</v>
      </c>
      <c r="K220" s="181">
        <v>2021</v>
      </c>
      <c r="L220" s="178" t="s">
        <v>9186</v>
      </c>
      <c r="M220" s="182"/>
      <c r="N220" s="208" t="s">
        <v>9469</v>
      </c>
    </row>
    <row r="221" spans="1:14" ht="20.100000000000001" customHeight="1">
      <c r="A221" s="194">
        <v>107</v>
      </c>
      <c r="B221" s="178" t="s">
        <v>5071</v>
      </c>
      <c r="C221" s="178" t="s">
        <v>9205</v>
      </c>
      <c r="D221" s="179">
        <v>9781799857655</v>
      </c>
      <c r="E221" s="179">
        <v>9781799849421</v>
      </c>
      <c r="F221" s="180" t="s">
        <v>9483</v>
      </c>
      <c r="G221" s="181">
        <v>1</v>
      </c>
      <c r="H221" s="181">
        <v>1</v>
      </c>
      <c r="I221" s="178" t="s">
        <v>9484</v>
      </c>
      <c r="J221" s="178" t="s">
        <v>568</v>
      </c>
      <c r="K221" s="181">
        <v>2021</v>
      </c>
      <c r="L221" s="178" t="s">
        <v>9186</v>
      </c>
      <c r="M221" s="182"/>
      <c r="N221" s="208" t="s">
        <v>9485</v>
      </c>
    </row>
    <row r="222" spans="1:14" ht="20.100000000000001" customHeight="1">
      <c r="A222" s="194">
        <v>108</v>
      </c>
      <c r="B222" s="178" t="s">
        <v>5071</v>
      </c>
      <c r="C222" s="178" t="s">
        <v>9205</v>
      </c>
      <c r="D222" s="179">
        <v>9781799858249</v>
      </c>
      <c r="E222" s="179">
        <v>9781799858232</v>
      </c>
      <c r="F222" s="180" t="s">
        <v>9486</v>
      </c>
      <c r="G222" s="181">
        <v>1</v>
      </c>
      <c r="H222" s="181">
        <v>1</v>
      </c>
      <c r="I222" s="178" t="s">
        <v>9487</v>
      </c>
      <c r="J222" s="178" t="s">
        <v>568</v>
      </c>
      <c r="K222" s="181">
        <v>2021</v>
      </c>
      <c r="L222" s="178" t="s">
        <v>9186</v>
      </c>
      <c r="M222" s="182"/>
      <c r="N222" s="208" t="s">
        <v>9488</v>
      </c>
    </row>
    <row r="223" spans="1:14" ht="20.100000000000001" customHeight="1">
      <c r="A223" s="194">
        <v>6</v>
      </c>
      <c r="B223" s="178" t="s">
        <v>5071</v>
      </c>
      <c r="C223" s="178" t="s">
        <v>9201</v>
      </c>
      <c r="D223" s="179">
        <v>9781522552741</v>
      </c>
      <c r="E223" s="179">
        <v>9781522552734</v>
      </c>
      <c r="F223" s="180" t="s">
        <v>9202</v>
      </c>
      <c r="G223" s="181">
        <v>1</v>
      </c>
      <c r="H223" s="181">
        <v>1</v>
      </c>
      <c r="I223" s="178" t="s">
        <v>9203</v>
      </c>
      <c r="J223" s="178" t="s">
        <v>568</v>
      </c>
      <c r="K223" s="181">
        <v>2018</v>
      </c>
      <c r="L223" s="178" t="s">
        <v>9186</v>
      </c>
      <c r="M223" s="182"/>
      <c r="N223" s="208" t="s">
        <v>9204</v>
      </c>
    </row>
    <row r="224" spans="1:14" ht="20.100000000000001" customHeight="1">
      <c r="A224" s="194">
        <v>8</v>
      </c>
      <c r="B224" s="178" t="s">
        <v>5071</v>
      </c>
      <c r="C224" s="178" t="s">
        <v>9201</v>
      </c>
      <c r="D224" s="179">
        <v>9781522526575</v>
      </c>
      <c r="E224" s="179">
        <v>9781522526568</v>
      </c>
      <c r="F224" s="180" t="s">
        <v>9208</v>
      </c>
      <c r="G224" s="181">
        <v>1</v>
      </c>
      <c r="H224" s="181">
        <v>1</v>
      </c>
      <c r="I224" s="178" t="s">
        <v>9209</v>
      </c>
      <c r="J224" s="178" t="s">
        <v>568</v>
      </c>
      <c r="K224" s="181">
        <v>2018</v>
      </c>
      <c r="L224" s="178" t="s">
        <v>9186</v>
      </c>
      <c r="M224" s="182"/>
      <c r="N224" s="208" t="s">
        <v>9210</v>
      </c>
    </row>
    <row r="225" spans="1:14" ht="20.100000000000001" customHeight="1">
      <c r="A225" s="194">
        <v>9</v>
      </c>
      <c r="B225" s="178" t="s">
        <v>5071</v>
      </c>
      <c r="C225" s="178" t="s">
        <v>9201</v>
      </c>
      <c r="D225" s="179">
        <v>9781522573456</v>
      </c>
      <c r="E225" s="179">
        <v>9781522573449</v>
      </c>
      <c r="F225" s="180" t="s">
        <v>9211</v>
      </c>
      <c r="G225" s="181">
        <v>1</v>
      </c>
      <c r="H225" s="181">
        <v>1</v>
      </c>
      <c r="I225" s="178" t="s">
        <v>5224</v>
      </c>
      <c r="J225" s="178" t="s">
        <v>568</v>
      </c>
      <c r="K225" s="181">
        <v>2019</v>
      </c>
      <c r="L225" s="178" t="s">
        <v>9186</v>
      </c>
      <c r="M225" s="182"/>
      <c r="N225" s="208" t="s">
        <v>9212</v>
      </c>
    </row>
    <row r="226" spans="1:14" ht="20.100000000000001" customHeight="1">
      <c r="A226" s="194">
        <v>15</v>
      </c>
      <c r="B226" s="178" t="s">
        <v>5071</v>
      </c>
      <c r="C226" s="178" t="s">
        <v>9201</v>
      </c>
      <c r="D226" s="179">
        <v>9781522578604</v>
      </c>
      <c r="E226" s="179">
        <v>9781522578598</v>
      </c>
      <c r="F226" s="180" t="s">
        <v>9225</v>
      </c>
      <c r="G226" s="181">
        <v>1</v>
      </c>
      <c r="H226" s="181">
        <v>1</v>
      </c>
      <c r="I226" s="178" t="s">
        <v>9226</v>
      </c>
      <c r="J226" s="178" t="s">
        <v>568</v>
      </c>
      <c r="K226" s="181">
        <v>2019</v>
      </c>
      <c r="L226" s="178" t="s">
        <v>9186</v>
      </c>
      <c r="M226" s="182"/>
      <c r="N226" s="208" t="s">
        <v>9227</v>
      </c>
    </row>
    <row r="227" spans="1:14" ht="20.100000000000001" customHeight="1">
      <c r="A227" s="194">
        <v>30</v>
      </c>
      <c r="B227" s="178" t="s">
        <v>5071</v>
      </c>
      <c r="C227" s="178" t="s">
        <v>9201</v>
      </c>
      <c r="D227" s="179">
        <v>9781799800378</v>
      </c>
      <c r="E227" s="179">
        <v>9781799800354</v>
      </c>
      <c r="F227" s="180" t="s">
        <v>9268</v>
      </c>
      <c r="G227" s="181">
        <v>1</v>
      </c>
      <c r="H227" s="181">
        <v>1</v>
      </c>
      <c r="I227" s="178" t="s">
        <v>9269</v>
      </c>
      <c r="J227" s="178" t="s">
        <v>568</v>
      </c>
      <c r="K227" s="181">
        <v>2020</v>
      </c>
      <c r="L227" s="178" t="s">
        <v>9186</v>
      </c>
      <c r="M227" s="182"/>
      <c r="N227" s="208" t="s">
        <v>9270</v>
      </c>
    </row>
    <row r="228" spans="1:14" ht="20.100000000000001" customHeight="1">
      <c r="A228" s="194">
        <v>31</v>
      </c>
      <c r="B228" s="178" t="s">
        <v>5071</v>
      </c>
      <c r="C228" s="178" t="s">
        <v>9201</v>
      </c>
      <c r="D228" s="179">
        <v>9781799814139</v>
      </c>
      <c r="E228" s="179">
        <v>9781799814122</v>
      </c>
      <c r="F228" s="180" t="s">
        <v>9271</v>
      </c>
      <c r="G228" s="181">
        <v>1</v>
      </c>
      <c r="H228" s="181">
        <v>1</v>
      </c>
      <c r="I228" s="178" t="s">
        <v>5792</v>
      </c>
      <c r="J228" s="178" t="s">
        <v>568</v>
      </c>
      <c r="K228" s="181">
        <v>2020</v>
      </c>
      <c r="L228" s="178" t="s">
        <v>9186</v>
      </c>
      <c r="M228" s="182"/>
      <c r="N228" s="208" t="s">
        <v>9272</v>
      </c>
    </row>
    <row r="229" spans="1:14" ht="20.100000000000001" customHeight="1">
      <c r="A229" s="194">
        <v>37</v>
      </c>
      <c r="B229" s="178" t="s">
        <v>5071</v>
      </c>
      <c r="C229" s="178" t="s">
        <v>9201</v>
      </c>
      <c r="D229" s="179">
        <v>9781799801337</v>
      </c>
      <c r="E229" s="179">
        <v>9781799801313</v>
      </c>
      <c r="F229" s="180" t="s">
        <v>9288</v>
      </c>
      <c r="G229" s="181">
        <v>1</v>
      </c>
      <c r="H229" s="181">
        <v>1</v>
      </c>
      <c r="I229" s="178" t="s">
        <v>9289</v>
      </c>
      <c r="J229" s="178" t="s">
        <v>568</v>
      </c>
      <c r="K229" s="181">
        <v>2020</v>
      </c>
      <c r="L229" s="178" t="s">
        <v>9186</v>
      </c>
      <c r="M229" s="182"/>
      <c r="N229" s="208" t="s">
        <v>9290</v>
      </c>
    </row>
    <row r="230" spans="1:14" ht="20.100000000000001" customHeight="1">
      <c r="A230" s="194">
        <v>49</v>
      </c>
      <c r="B230" s="178" t="s">
        <v>5071</v>
      </c>
      <c r="C230" s="178" t="s">
        <v>9201</v>
      </c>
      <c r="D230" s="179">
        <v>9781799822226</v>
      </c>
      <c r="E230" s="179">
        <v>9781799822202</v>
      </c>
      <c r="F230" s="180" t="s">
        <v>9319</v>
      </c>
      <c r="G230" s="181">
        <v>1</v>
      </c>
      <c r="H230" s="181">
        <v>1</v>
      </c>
      <c r="I230" s="178" t="s">
        <v>9320</v>
      </c>
      <c r="J230" s="178" t="s">
        <v>568</v>
      </c>
      <c r="K230" s="181">
        <v>2020</v>
      </c>
      <c r="L230" s="178" t="s">
        <v>9186</v>
      </c>
      <c r="M230" s="182"/>
      <c r="N230" s="208" t="s">
        <v>9321</v>
      </c>
    </row>
    <row r="231" spans="1:14" ht="20.100000000000001" customHeight="1">
      <c r="A231" s="194">
        <v>51</v>
      </c>
      <c r="B231" s="178" t="s">
        <v>5071</v>
      </c>
      <c r="C231" s="178" t="s">
        <v>9201</v>
      </c>
      <c r="D231" s="179">
        <v>9781799824701</v>
      </c>
      <c r="E231" s="179">
        <v>9781799824695</v>
      </c>
      <c r="F231" s="180" t="s">
        <v>9325</v>
      </c>
      <c r="G231" s="181">
        <v>1</v>
      </c>
      <c r="H231" s="181">
        <v>1</v>
      </c>
      <c r="I231" s="178" t="s">
        <v>3446</v>
      </c>
      <c r="J231" s="178" t="s">
        <v>568</v>
      </c>
      <c r="K231" s="181">
        <v>2020</v>
      </c>
      <c r="L231" s="178" t="s">
        <v>9186</v>
      </c>
      <c r="M231" s="183" t="s">
        <v>9193</v>
      </c>
      <c r="N231" s="208" t="s">
        <v>9326</v>
      </c>
    </row>
    <row r="232" spans="1:14" ht="20.100000000000001" customHeight="1">
      <c r="A232" s="194">
        <v>53</v>
      </c>
      <c r="B232" s="178" t="s">
        <v>5071</v>
      </c>
      <c r="C232" s="178" t="s">
        <v>9201</v>
      </c>
      <c r="D232" s="179">
        <v>9781799831204</v>
      </c>
      <c r="E232" s="179">
        <v>9781799831198</v>
      </c>
      <c r="F232" s="180" t="s">
        <v>9330</v>
      </c>
      <c r="G232" s="181">
        <v>1</v>
      </c>
      <c r="H232" s="181">
        <v>1</v>
      </c>
      <c r="I232" s="178" t="s">
        <v>9331</v>
      </c>
      <c r="J232" s="178" t="s">
        <v>568</v>
      </c>
      <c r="K232" s="181">
        <v>2020</v>
      </c>
      <c r="L232" s="178" t="s">
        <v>9186</v>
      </c>
      <c r="M232" s="182"/>
      <c r="N232" s="208" t="s">
        <v>9332</v>
      </c>
    </row>
    <row r="233" spans="1:14" ht="20.100000000000001" customHeight="1">
      <c r="A233" s="194">
        <v>65</v>
      </c>
      <c r="B233" s="178" t="s">
        <v>5071</v>
      </c>
      <c r="C233" s="178" t="s">
        <v>9201</v>
      </c>
      <c r="D233" s="179">
        <v>9781799836759</v>
      </c>
      <c r="E233" s="179">
        <v>9781799836735</v>
      </c>
      <c r="F233" s="180" t="s">
        <v>9363</v>
      </c>
      <c r="G233" s="181">
        <v>1</v>
      </c>
      <c r="H233" s="181">
        <v>1</v>
      </c>
      <c r="I233" s="178" t="s">
        <v>9364</v>
      </c>
      <c r="J233" s="178" t="s">
        <v>568</v>
      </c>
      <c r="K233" s="181">
        <v>2020</v>
      </c>
      <c r="L233" s="178" t="s">
        <v>9186</v>
      </c>
      <c r="M233" s="182"/>
      <c r="N233" s="208" t="s">
        <v>9365</v>
      </c>
    </row>
    <row r="234" spans="1:14" ht="20.100000000000001" customHeight="1">
      <c r="A234" s="194">
        <v>67</v>
      </c>
      <c r="B234" s="178" t="s">
        <v>5071</v>
      </c>
      <c r="C234" s="178" t="s">
        <v>9201</v>
      </c>
      <c r="D234" s="179">
        <v>9781799837589</v>
      </c>
      <c r="E234" s="179">
        <v>9781799837565</v>
      </c>
      <c r="F234" s="180" t="s">
        <v>9368</v>
      </c>
      <c r="G234" s="181">
        <v>1</v>
      </c>
      <c r="H234" s="181">
        <v>1</v>
      </c>
      <c r="I234" s="178" t="s">
        <v>9369</v>
      </c>
      <c r="J234" s="178" t="s">
        <v>568</v>
      </c>
      <c r="K234" s="181">
        <v>2021</v>
      </c>
      <c r="L234" s="178" t="s">
        <v>9186</v>
      </c>
      <c r="M234" s="182"/>
      <c r="N234" s="208" t="s">
        <v>9370</v>
      </c>
    </row>
    <row r="235" spans="1:14" ht="20.100000000000001" customHeight="1">
      <c r="A235" s="194">
        <v>75</v>
      </c>
      <c r="B235" s="178" t="s">
        <v>5071</v>
      </c>
      <c r="C235" s="178" t="s">
        <v>9201</v>
      </c>
      <c r="D235" s="179">
        <v>9781799842415</v>
      </c>
      <c r="E235" s="179">
        <v>9781799842408</v>
      </c>
      <c r="F235" s="180" t="s">
        <v>9393</v>
      </c>
      <c r="G235" s="181">
        <v>1</v>
      </c>
      <c r="H235" s="181">
        <v>1</v>
      </c>
      <c r="I235" s="178" t="s">
        <v>9394</v>
      </c>
      <c r="J235" s="178" t="s">
        <v>568</v>
      </c>
      <c r="K235" s="181">
        <v>2021</v>
      </c>
      <c r="L235" s="178" t="s">
        <v>9186</v>
      </c>
      <c r="M235" s="182"/>
      <c r="N235" s="208" t="s">
        <v>9395</v>
      </c>
    </row>
    <row r="236" spans="1:14" ht="20.100000000000001" customHeight="1">
      <c r="A236" s="194">
        <v>79</v>
      </c>
      <c r="B236" s="178" t="s">
        <v>5071</v>
      </c>
      <c r="C236" s="178" t="s">
        <v>9201</v>
      </c>
      <c r="D236" s="179">
        <v>9781799846024</v>
      </c>
      <c r="E236" s="179">
        <v>9781799846017</v>
      </c>
      <c r="F236" s="180" t="s">
        <v>9404</v>
      </c>
      <c r="G236" s="181">
        <v>1</v>
      </c>
      <c r="H236" s="181">
        <v>1</v>
      </c>
      <c r="I236" s="178" t="s">
        <v>5242</v>
      </c>
      <c r="J236" s="178" t="s">
        <v>568</v>
      </c>
      <c r="K236" s="181">
        <v>2020</v>
      </c>
      <c r="L236" s="178" t="s">
        <v>9186</v>
      </c>
      <c r="M236" s="182"/>
      <c r="N236" s="208" t="s">
        <v>9405</v>
      </c>
    </row>
    <row r="237" spans="1:14" ht="20.100000000000001" customHeight="1">
      <c r="A237" s="194">
        <v>90</v>
      </c>
      <c r="B237" s="178" t="s">
        <v>5071</v>
      </c>
      <c r="C237" s="178" t="s">
        <v>9201</v>
      </c>
      <c r="D237" s="179">
        <v>9781799849551</v>
      </c>
      <c r="E237" s="179">
        <v>9781799849544</v>
      </c>
      <c r="F237" s="180" t="s">
        <v>9436</v>
      </c>
      <c r="G237" s="181">
        <v>1</v>
      </c>
      <c r="H237" s="181">
        <v>1</v>
      </c>
      <c r="I237" s="178" t="s">
        <v>9437</v>
      </c>
      <c r="J237" s="178" t="s">
        <v>568</v>
      </c>
      <c r="K237" s="181">
        <v>2021</v>
      </c>
      <c r="L237" s="178" t="s">
        <v>9186</v>
      </c>
      <c r="M237" s="182"/>
      <c r="N237" s="208" t="s">
        <v>9438</v>
      </c>
    </row>
    <row r="238" spans="1:14" ht="20.100000000000001" customHeight="1">
      <c r="A238" s="194">
        <v>110</v>
      </c>
      <c r="B238" s="178" t="s">
        <v>5071</v>
      </c>
      <c r="C238" s="178" t="s">
        <v>9201</v>
      </c>
      <c r="D238" s="179">
        <v>9781799854449</v>
      </c>
      <c r="E238" s="179">
        <v>9781799854425</v>
      </c>
      <c r="F238" s="180" t="s">
        <v>9492</v>
      </c>
      <c r="G238" s="181">
        <v>1</v>
      </c>
      <c r="H238" s="181">
        <v>1</v>
      </c>
      <c r="I238" s="178" t="s">
        <v>6120</v>
      </c>
      <c r="J238" s="178" t="s">
        <v>568</v>
      </c>
      <c r="K238" s="181">
        <v>2021</v>
      </c>
      <c r="L238" s="178" t="s">
        <v>9186</v>
      </c>
      <c r="M238" s="182"/>
      <c r="N238" s="208" t="s">
        <v>9493</v>
      </c>
    </row>
    <row r="239" spans="1:14" ht="20.100000000000001" customHeight="1">
      <c r="A239" s="194">
        <v>36</v>
      </c>
      <c r="B239" s="178" t="s">
        <v>5071</v>
      </c>
      <c r="C239" s="178" t="s">
        <v>9285</v>
      </c>
      <c r="D239" s="179">
        <v>9781799822028</v>
      </c>
      <c r="E239" s="179">
        <v>9781799822011</v>
      </c>
      <c r="F239" s="180" t="s">
        <v>9286</v>
      </c>
      <c r="G239" s="181">
        <v>1</v>
      </c>
      <c r="H239" s="181">
        <v>1</v>
      </c>
      <c r="I239" s="178" t="s">
        <v>8069</v>
      </c>
      <c r="J239" s="178" t="s">
        <v>569</v>
      </c>
      <c r="K239" s="181">
        <v>2020</v>
      </c>
      <c r="L239" s="178" t="s">
        <v>9186</v>
      </c>
      <c r="M239" s="182"/>
      <c r="N239" s="208" t="s">
        <v>9287</v>
      </c>
    </row>
    <row r="240" spans="1:14" ht="20.100000000000001" customHeight="1">
      <c r="A240" s="194">
        <v>38</v>
      </c>
      <c r="B240" s="178" t="s">
        <v>5071</v>
      </c>
      <c r="C240" s="178" t="s">
        <v>9285</v>
      </c>
      <c r="D240" s="179">
        <v>9781522598275</v>
      </c>
      <c r="E240" s="179">
        <v>9781522598251</v>
      </c>
      <c r="F240" s="180" t="s">
        <v>9291</v>
      </c>
      <c r="G240" s="181">
        <v>1</v>
      </c>
      <c r="H240" s="181">
        <v>1</v>
      </c>
      <c r="I240" s="178" t="s">
        <v>7232</v>
      </c>
      <c r="J240" s="178" t="s">
        <v>569</v>
      </c>
      <c r="K240" s="181">
        <v>2020</v>
      </c>
      <c r="L240" s="178" t="s">
        <v>9186</v>
      </c>
      <c r="M240" s="182"/>
      <c r="N240" s="208" t="s">
        <v>9292</v>
      </c>
    </row>
    <row r="241" spans="1:14" ht="20.100000000000001" customHeight="1">
      <c r="A241" s="194">
        <v>52</v>
      </c>
      <c r="B241" s="178" t="s">
        <v>5071</v>
      </c>
      <c r="C241" s="178" t="s">
        <v>9285</v>
      </c>
      <c r="D241" s="179">
        <v>9781799822752</v>
      </c>
      <c r="E241" s="179">
        <v>9781799822738</v>
      </c>
      <c r="F241" s="180" t="s">
        <v>9327</v>
      </c>
      <c r="G241" s="181">
        <v>1</v>
      </c>
      <c r="H241" s="181">
        <v>1</v>
      </c>
      <c r="I241" s="178" t="s">
        <v>9328</v>
      </c>
      <c r="J241" s="178" t="s">
        <v>569</v>
      </c>
      <c r="K241" s="181">
        <v>2020</v>
      </c>
      <c r="L241" s="178" t="s">
        <v>9186</v>
      </c>
      <c r="M241" s="182"/>
      <c r="N241" s="208" t="s">
        <v>9329</v>
      </c>
    </row>
    <row r="242" spans="1:14" ht="20.100000000000001" customHeight="1">
      <c r="A242" s="195">
        <v>9</v>
      </c>
      <c r="B242" s="189" t="s">
        <v>5071</v>
      </c>
      <c r="C242" s="189" t="s">
        <v>7494</v>
      </c>
      <c r="D242" s="190">
        <v>9781799814849</v>
      </c>
      <c r="E242" s="190">
        <v>9781799814825</v>
      </c>
      <c r="F242" s="191" t="s">
        <v>9897</v>
      </c>
      <c r="G242" s="192">
        <v>1</v>
      </c>
      <c r="H242" s="192">
        <v>1</v>
      </c>
      <c r="I242" s="189" t="s">
        <v>9898</v>
      </c>
      <c r="J242" s="189" t="s">
        <v>569</v>
      </c>
      <c r="K242" s="192">
        <v>2020</v>
      </c>
      <c r="L242" s="189" t="s">
        <v>7499</v>
      </c>
      <c r="M242" s="193"/>
      <c r="N242" s="209" t="s">
        <v>9899</v>
      </c>
    </row>
    <row r="243" spans="1:14" ht="20.100000000000001" customHeight="1">
      <c r="A243" s="194">
        <v>162</v>
      </c>
      <c r="B243" s="178" t="s">
        <v>571</v>
      </c>
      <c r="C243" s="178" t="s">
        <v>9650</v>
      </c>
      <c r="D243" s="179">
        <v>9781522593829</v>
      </c>
      <c r="E243" s="179">
        <v>9781522593805</v>
      </c>
      <c r="F243" s="180" t="s">
        <v>9651</v>
      </c>
      <c r="G243" s="181">
        <v>1</v>
      </c>
      <c r="H243" s="181">
        <v>1</v>
      </c>
      <c r="I243" s="178" t="s">
        <v>9652</v>
      </c>
      <c r="J243" s="178" t="s">
        <v>1233</v>
      </c>
      <c r="K243" s="181">
        <v>2020</v>
      </c>
      <c r="L243" s="178" t="s">
        <v>9186</v>
      </c>
      <c r="M243" s="182"/>
      <c r="N243" s="208" t="s">
        <v>9653</v>
      </c>
    </row>
    <row r="244" spans="1:14" ht="20.100000000000001" customHeight="1">
      <c r="A244" s="194">
        <v>164</v>
      </c>
      <c r="B244" s="178" t="s">
        <v>571</v>
      </c>
      <c r="C244" s="178" t="s">
        <v>9657</v>
      </c>
      <c r="D244" s="179">
        <v>9781799813767</v>
      </c>
      <c r="E244" s="179">
        <v>9781799813743</v>
      </c>
      <c r="F244" s="180" t="s">
        <v>9658</v>
      </c>
      <c r="G244" s="181">
        <v>1</v>
      </c>
      <c r="H244" s="181">
        <v>1</v>
      </c>
      <c r="I244" s="178" t="s">
        <v>9659</v>
      </c>
      <c r="J244" s="178" t="s">
        <v>1233</v>
      </c>
      <c r="K244" s="181">
        <v>2020</v>
      </c>
      <c r="L244" s="178" t="s">
        <v>9186</v>
      </c>
      <c r="M244" s="182"/>
      <c r="N244" s="208" t="s">
        <v>9660</v>
      </c>
    </row>
    <row r="245" spans="1:14" ht="20.100000000000001" customHeight="1">
      <c r="A245" s="194">
        <v>168</v>
      </c>
      <c r="B245" s="178" t="s">
        <v>571</v>
      </c>
      <c r="C245" s="178" t="s">
        <v>9657</v>
      </c>
      <c r="D245" s="179">
        <v>9781799818885</v>
      </c>
      <c r="E245" s="179">
        <v>9781799818861</v>
      </c>
      <c r="F245" s="180" t="s">
        <v>9668</v>
      </c>
      <c r="G245" s="181">
        <v>1</v>
      </c>
      <c r="H245" s="181">
        <v>1</v>
      </c>
      <c r="I245" s="178" t="s">
        <v>9669</v>
      </c>
      <c r="J245" s="178" t="s">
        <v>1233</v>
      </c>
      <c r="K245" s="181">
        <v>2020</v>
      </c>
      <c r="L245" s="178" t="s">
        <v>9186</v>
      </c>
      <c r="M245" s="182"/>
      <c r="N245" s="208" t="s">
        <v>9670</v>
      </c>
    </row>
    <row r="246" spans="1:14" ht="20.100000000000001" customHeight="1">
      <c r="A246" s="194">
        <v>169</v>
      </c>
      <c r="B246" s="178" t="s">
        <v>571</v>
      </c>
      <c r="C246" s="178" t="s">
        <v>9657</v>
      </c>
      <c r="D246" s="179">
        <v>9781799809494</v>
      </c>
      <c r="E246" s="179">
        <v>9781799809487</v>
      </c>
      <c r="F246" s="180" t="s">
        <v>9671</v>
      </c>
      <c r="G246" s="181">
        <v>1</v>
      </c>
      <c r="H246" s="181">
        <v>1</v>
      </c>
      <c r="I246" s="178" t="s">
        <v>3446</v>
      </c>
      <c r="J246" s="178" t="s">
        <v>1233</v>
      </c>
      <c r="K246" s="181">
        <v>2020</v>
      </c>
      <c r="L246" s="178" t="s">
        <v>9186</v>
      </c>
      <c r="M246" s="183" t="s">
        <v>9193</v>
      </c>
      <c r="N246" s="208" t="s">
        <v>9672</v>
      </c>
    </row>
    <row r="247" spans="1:14" ht="20.100000000000001" customHeight="1">
      <c r="A247" s="194">
        <v>170</v>
      </c>
      <c r="B247" s="178" t="s">
        <v>571</v>
      </c>
      <c r="C247" s="178" t="s">
        <v>9657</v>
      </c>
      <c r="D247" s="179">
        <v>9781799816164</v>
      </c>
      <c r="E247" s="179">
        <v>9781799816140</v>
      </c>
      <c r="F247" s="180" t="s">
        <v>9673</v>
      </c>
      <c r="G247" s="181">
        <v>1</v>
      </c>
      <c r="H247" s="181">
        <v>1</v>
      </c>
      <c r="I247" s="178" t="s">
        <v>9674</v>
      </c>
      <c r="J247" s="178" t="s">
        <v>1233</v>
      </c>
      <c r="K247" s="181">
        <v>2020</v>
      </c>
      <c r="L247" s="178" t="s">
        <v>9186</v>
      </c>
      <c r="M247" s="182"/>
      <c r="N247" s="208" t="s">
        <v>9675</v>
      </c>
    </row>
    <row r="248" spans="1:14" ht="20.100000000000001" customHeight="1">
      <c r="A248" s="194">
        <v>181</v>
      </c>
      <c r="B248" s="178" t="s">
        <v>571</v>
      </c>
      <c r="C248" s="178" t="s">
        <v>9657</v>
      </c>
      <c r="D248" s="179">
        <v>9781799825159</v>
      </c>
      <c r="E248" s="179">
        <v>9781799825135</v>
      </c>
      <c r="F248" s="180" t="s">
        <v>9704</v>
      </c>
      <c r="G248" s="181">
        <v>1</v>
      </c>
      <c r="H248" s="181">
        <v>1</v>
      </c>
      <c r="I248" s="178" t="s">
        <v>9705</v>
      </c>
      <c r="J248" s="178" t="s">
        <v>1233</v>
      </c>
      <c r="K248" s="181">
        <v>2020</v>
      </c>
      <c r="L248" s="178" t="s">
        <v>9186</v>
      </c>
      <c r="M248" s="182"/>
      <c r="N248" s="208" t="s">
        <v>9706</v>
      </c>
    </row>
    <row r="249" spans="1:14" ht="20.100000000000001" customHeight="1">
      <c r="A249" s="194">
        <v>196</v>
      </c>
      <c r="B249" s="178" t="s">
        <v>571</v>
      </c>
      <c r="C249" s="178" t="s">
        <v>9657</v>
      </c>
      <c r="D249" s="179">
        <v>9781799844099</v>
      </c>
      <c r="E249" s="179">
        <v>9781799844082</v>
      </c>
      <c r="F249" s="180" t="s">
        <v>9750</v>
      </c>
      <c r="G249" s="181">
        <v>1</v>
      </c>
      <c r="H249" s="181">
        <v>1</v>
      </c>
      <c r="I249" s="178" t="s">
        <v>9751</v>
      </c>
      <c r="J249" s="178" t="s">
        <v>1233</v>
      </c>
      <c r="K249" s="181">
        <v>2021</v>
      </c>
      <c r="L249" s="178" t="s">
        <v>9186</v>
      </c>
      <c r="M249" s="182"/>
      <c r="N249" s="208" t="s">
        <v>9752</v>
      </c>
    </row>
    <row r="250" spans="1:14" ht="20.100000000000001" customHeight="1">
      <c r="A250" s="194">
        <v>220</v>
      </c>
      <c r="B250" s="178" t="s">
        <v>571</v>
      </c>
      <c r="C250" s="178" t="s">
        <v>9657</v>
      </c>
      <c r="D250" s="179">
        <v>9781799849162</v>
      </c>
      <c r="E250" s="179">
        <v>9781799849155</v>
      </c>
      <c r="F250" s="180" t="s">
        <v>9821</v>
      </c>
      <c r="G250" s="181">
        <v>1</v>
      </c>
      <c r="H250" s="181">
        <v>1</v>
      </c>
      <c r="I250" s="178" t="s">
        <v>9822</v>
      </c>
      <c r="J250" s="178" t="s">
        <v>1233</v>
      </c>
      <c r="K250" s="181">
        <v>2021</v>
      </c>
      <c r="L250" s="178" t="s">
        <v>9186</v>
      </c>
      <c r="M250" s="182"/>
      <c r="N250" s="208" t="s">
        <v>9823</v>
      </c>
    </row>
    <row r="251" spans="1:14" ht="20.100000000000001" customHeight="1">
      <c r="A251" s="194">
        <v>223</v>
      </c>
      <c r="B251" s="178" t="s">
        <v>571</v>
      </c>
      <c r="C251" s="178" t="s">
        <v>9657</v>
      </c>
      <c r="D251" s="179">
        <v>9781799849490</v>
      </c>
      <c r="E251" s="179">
        <v>9781799849483</v>
      </c>
      <c r="F251" s="180" t="s">
        <v>9829</v>
      </c>
      <c r="G251" s="181">
        <v>1</v>
      </c>
      <c r="H251" s="181">
        <v>1</v>
      </c>
      <c r="I251" s="178" t="s">
        <v>9830</v>
      </c>
      <c r="J251" s="178" t="s">
        <v>1233</v>
      </c>
      <c r="K251" s="181">
        <v>2021</v>
      </c>
      <c r="L251" s="178" t="s">
        <v>9186</v>
      </c>
      <c r="M251" s="182"/>
      <c r="N251" s="208" t="s">
        <v>9831</v>
      </c>
    </row>
    <row r="252" spans="1:14" ht="20.100000000000001" customHeight="1">
      <c r="A252" s="194">
        <v>123</v>
      </c>
      <c r="B252" s="178" t="s">
        <v>5413</v>
      </c>
      <c r="C252" s="178" t="s">
        <v>9532</v>
      </c>
      <c r="D252" s="179">
        <v>9781799814696</v>
      </c>
      <c r="E252" s="179">
        <v>9781799814689</v>
      </c>
      <c r="F252" s="180" t="s">
        <v>9533</v>
      </c>
      <c r="G252" s="181">
        <v>1</v>
      </c>
      <c r="H252" s="181">
        <v>1</v>
      </c>
      <c r="I252" s="178" t="s">
        <v>9534</v>
      </c>
      <c r="J252" s="178" t="s">
        <v>561</v>
      </c>
      <c r="K252" s="181">
        <v>2020</v>
      </c>
      <c r="L252" s="178" t="s">
        <v>9186</v>
      </c>
      <c r="M252" s="182"/>
      <c r="N252" s="208" t="s">
        <v>9535</v>
      </c>
    </row>
    <row r="253" spans="1:14" ht="20.100000000000001" customHeight="1">
      <c r="A253" s="194">
        <v>125</v>
      </c>
      <c r="B253" s="178" t="s">
        <v>5413</v>
      </c>
      <c r="C253" s="178" t="s">
        <v>9532</v>
      </c>
      <c r="D253" s="179">
        <v>9781799820895</v>
      </c>
      <c r="E253" s="179">
        <v>9781799820888</v>
      </c>
      <c r="F253" s="180" t="s">
        <v>9538</v>
      </c>
      <c r="G253" s="181">
        <v>1</v>
      </c>
      <c r="H253" s="181">
        <v>1</v>
      </c>
      <c r="I253" s="178" t="s">
        <v>9539</v>
      </c>
      <c r="J253" s="178" t="s">
        <v>561</v>
      </c>
      <c r="K253" s="181">
        <v>2020</v>
      </c>
      <c r="L253" s="178" t="s">
        <v>9186</v>
      </c>
      <c r="M253" s="182"/>
      <c r="N253" s="208" t="s">
        <v>9540</v>
      </c>
    </row>
    <row r="254" spans="1:14" ht="20.100000000000001" customHeight="1">
      <c r="A254" s="199">
        <v>129</v>
      </c>
      <c r="B254" s="200" t="s">
        <v>5413</v>
      </c>
      <c r="C254" s="200" t="s">
        <v>9532</v>
      </c>
      <c r="D254" s="201">
        <v>9781799830672</v>
      </c>
      <c r="E254" s="201">
        <v>9781799830665</v>
      </c>
      <c r="F254" s="202" t="s">
        <v>9550</v>
      </c>
      <c r="G254" s="203">
        <v>1</v>
      </c>
      <c r="H254" s="203">
        <v>1</v>
      </c>
      <c r="I254" s="200" t="s">
        <v>9551</v>
      </c>
      <c r="J254" s="200" t="s">
        <v>561</v>
      </c>
      <c r="K254" s="203">
        <v>2020</v>
      </c>
      <c r="L254" s="200" t="s">
        <v>9186</v>
      </c>
      <c r="M254" s="204"/>
      <c r="N254" s="215" t="s">
        <v>9552</v>
      </c>
    </row>
  </sheetData>
  <sortState xmlns:xlrd2="http://schemas.microsoft.com/office/spreadsheetml/2017/richdata2" ref="A2:N254">
    <sortCondition ref="C2:C254"/>
  </sortState>
  <phoneticPr fontId="3" type="noConversion"/>
  <conditionalFormatting sqref="D2:D242">
    <cfRule type="duplicateValues" dxfId="19" priority="1"/>
    <cfRule type="duplicateValues" dxfId="18" priority="2"/>
  </conditionalFormatting>
  <hyperlinks>
    <hyperlink ref="N120" r:id="rId1" xr:uid="{AF23268F-802F-4B02-8402-73EF670708D7}"/>
    <hyperlink ref="N162" r:id="rId2" xr:uid="{1FC3632F-66AB-48DD-B8BB-27E4EED83D6E}"/>
    <hyperlink ref="N121" r:id="rId3" xr:uid="{DA399829-C697-454E-9BAE-3A5657152DB8}"/>
    <hyperlink ref="N163" r:id="rId4" xr:uid="{2FC3E0C2-355F-41E1-A9E4-B8F48D5A0E4A}"/>
    <hyperlink ref="N122" r:id="rId5" xr:uid="{A01F92DB-1A12-4CE1-813B-FAA6130F45F7}"/>
    <hyperlink ref="N223" r:id="rId6" xr:uid="{803E8C83-A3B1-4B4F-9CCA-E9F9AB8016BE}"/>
    <hyperlink ref="N201" r:id="rId7" xr:uid="{3D2E55D0-005F-4ACD-B720-8F4DD35EB9B5}"/>
    <hyperlink ref="N224" r:id="rId8" xr:uid="{95417EA7-3CD8-4067-B870-994026CD382D}"/>
    <hyperlink ref="N225" r:id="rId9" xr:uid="{6784EF0B-8A9F-4CBF-994F-AE4B1E9D7763}"/>
    <hyperlink ref="N164" r:id="rId10" xr:uid="{4960D727-5ED8-4980-BD90-7B30635107B3}"/>
    <hyperlink ref="N165" r:id="rId11" xr:uid="{7EB4BBD8-A33E-4932-8D7C-56FD1EBF2385}"/>
    <hyperlink ref="N202" r:id="rId12" xr:uid="{9BF82F31-67AE-4FE2-9E62-FAB6BEF78FA4}"/>
    <hyperlink ref="N123" r:id="rId13" xr:uid="{48C1A24C-E274-4BF8-863D-9223A3576BEF}"/>
    <hyperlink ref="N203" r:id="rId14" xr:uid="{C713DD6D-ADAC-4F0F-8CBA-D3602BB07F4C}"/>
    <hyperlink ref="N226" r:id="rId15" xr:uid="{126ABF0B-1A51-4400-8EE4-2E022FEC1931}"/>
    <hyperlink ref="N191" r:id="rId16" xr:uid="{FBADD3FF-0505-4D60-A314-8282F99BC18C}"/>
    <hyperlink ref="N124" r:id="rId17" xr:uid="{D338062C-B5F7-46AA-A0E6-EA75515A6D53}"/>
    <hyperlink ref="N125" r:id="rId18" xr:uid="{A41C1D38-4EA7-41C3-B68B-89283B7AAB94}"/>
    <hyperlink ref="N166" r:id="rId19" xr:uid="{47FA83EC-625B-4CF6-B1D2-14BD117D2AE8}"/>
    <hyperlink ref="N192" r:id="rId20" xr:uid="{3D1A6230-F9AA-4526-869D-DBA3A38BC249}"/>
    <hyperlink ref="N175" r:id="rId21" xr:uid="{37CF4B27-690A-4B56-B552-D6017468AFD8}"/>
    <hyperlink ref="N176" r:id="rId22" xr:uid="{2AC55A4E-F785-4AC8-AE49-A0E4A485A86D}"/>
    <hyperlink ref="N117" r:id="rId23" xr:uid="{86720670-5835-4F88-9CB5-CDAF0F1B9650}"/>
    <hyperlink ref="N204" r:id="rId24" xr:uid="{9E1BA57C-DFCF-433E-B4A6-4F808ACCB463}"/>
    <hyperlink ref="N193" r:id="rId25" xr:uid="{39F74797-7972-4727-BDA7-58280BAC835B}"/>
    <hyperlink ref="N205" r:id="rId26" xr:uid="{2399839D-9D68-41A8-B05B-D85813BA6183}"/>
    <hyperlink ref="N177" r:id="rId27" xr:uid="{2AC30C92-ED82-4146-9464-0B0E32055387}"/>
    <hyperlink ref="N167" r:id="rId28" xr:uid="{67193971-C066-442C-A162-A9AAA80AAA1B}"/>
    <hyperlink ref="N168" r:id="rId29" xr:uid="{FEAA8F62-AA83-4B8C-A42C-8221CA4DA629}"/>
    <hyperlink ref="N227" r:id="rId30" xr:uid="{F74DDC87-4571-4583-9831-87B63E787C84}"/>
    <hyperlink ref="N228" r:id="rId31" xr:uid="{654D2217-F105-40D1-9A02-149408D982DA}"/>
    <hyperlink ref="N169" r:id="rId32" xr:uid="{71557696-73A3-4B5E-A8B8-66BA6D32E455}"/>
    <hyperlink ref="N178" r:id="rId33" xr:uid="{78D7048B-9A6B-4894-ABF1-22672FFD193D}"/>
    <hyperlink ref="N194" r:id="rId34" xr:uid="{68FEC2E0-0437-43C2-9C6B-E96E28E11D00}"/>
    <hyperlink ref="N170" r:id="rId35" xr:uid="{F22485B6-9922-445A-9619-EE4A230D2DFF}"/>
    <hyperlink ref="N239" r:id="rId36" xr:uid="{0F7382C3-2E06-4313-8138-E4A4679C4DEA}"/>
    <hyperlink ref="N229" r:id="rId37" xr:uid="{4C007958-B8F6-4721-88BA-A7BD6F6DCDB7}"/>
    <hyperlink ref="N240" r:id="rId38" xr:uid="{6F0E8605-D29E-4C8F-AF33-45A8206D56CF}"/>
    <hyperlink ref="N171" r:id="rId39" xr:uid="{4216A1C3-E5DE-414F-BBDC-0D53263A0A48}"/>
    <hyperlink ref="N179" r:id="rId40" xr:uid="{85BA54A6-5341-4969-A8DB-7769D6E954E4}"/>
    <hyperlink ref="N172" r:id="rId41" xr:uid="{E148C404-D8DD-4548-BB54-6FCF334FAA2C}"/>
    <hyperlink ref="N180" r:id="rId42" xr:uid="{F7EF1386-BEEF-42A1-847B-BADC819ABABC}"/>
    <hyperlink ref="N195" r:id="rId43" xr:uid="{458608FA-B4F5-42DC-8048-1EDCC066FD81}"/>
    <hyperlink ref="N196" r:id="rId44" xr:uid="{4EF539FC-FE25-4F2B-8487-17200747C142}"/>
    <hyperlink ref="N197" r:id="rId45" xr:uid="{BC477C25-8F26-4056-AAB7-4B362528C676}"/>
    <hyperlink ref="N126" r:id="rId46" xr:uid="{C673E47B-2D82-443C-AB53-09C07DA8693B}"/>
    <hyperlink ref="N206" r:id="rId47" xr:uid="{B4DC57F5-ED7F-44BD-AC01-EB874F18B70E}"/>
    <hyperlink ref="N187" r:id="rId48" xr:uid="{84C0BB7B-A996-4973-8326-3040E1820B1B}"/>
    <hyperlink ref="N230" r:id="rId49" xr:uid="{CEE269BE-5F54-47B8-B151-D1F55FB6DBF5}"/>
    <hyperlink ref="N207" r:id="rId50" xr:uid="{C0A586E6-0B1A-4279-99F1-6A7067AFAC25}"/>
    <hyperlink ref="N231" r:id="rId51" xr:uid="{1C3CCC4F-D317-40AA-AEA7-8492BEF094AB}"/>
    <hyperlink ref="N241" r:id="rId52" xr:uid="{45A57BBA-320F-4EAB-B1C7-1EA287B8E971}"/>
    <hyperlink ref="N232" r:id="rId53" xr:uid="{27D05550-3582-4BEE-9FBB-B86EA0CB491A}"/>
    <hyperlink ref="N208" r:id="rId54" xr:uid="{925B0D66-35B2-41A4-B97B-2F479AC91395}"/>
    <hyperlink ref="N160" r:id="rId55" xr:uid="{21E8BBFB-73FB-49B3-9ADC-AD37696F0028}"/>
    <hyperlink ref="N127" r:id="rId56" xr:uid="{9F6FA841-FDCC-47A1-A0F3-D7D629A4B3E9}"/>
    <hyperlink ref="N173" r:id="rId57" xr:uid="{E6F0DA2A-ED30-46EE-BE6C-BB00DFD483AB}"/>
    <hyperlink ref="N188" r:id="rId58" xr:uid="{69A36E4C-1FD0-4CB8-97DF-67BE6E7D741C}"/>
    <hyperlink ref="N189" r:id="rId59" xr:uid="{601F22E8-007F-4526-8D22-66C3C65CAC59}"/>
    <hyperlink ref="N190" r:id="rId60" xr:uid="{F968BC68-33C9-4356-972D-5B363EBBA7FC}"/>
    <hyperlink ref="N209" r:id="rId61" xr:uid="{149E2555-C0FC-42AF-93F0-BCA6777EE032}"/>
    <hyperlink ref="N128" r:id="rId62" xr:uid="{F15A685F-737C-40F2-A6E9-012DDE6EEA3D}"/>
    <hyperlink ref="N210" r:id="rId63" xr:uid="{4142B032-6617-49BD-A0C5-EDE06C5A6105}"/>
    <hyperlink ref="N181" r:id="rId64" xr:uid="{6DE0703A-E93A-4938-BDC3-5497C059171E}"/>
    <hyperlink ref="N233" r:id="rId65" xr:uid="{A04A07BA-E681-4F91-B824-5FF61D56275B}"/>
    <hyperlink ref="N211" r:id="rId66" xr:uid="{DFE5FEB1-6119-4330-B9C5-6AA456281117}"/>
    <hyperlink ref="N234" r:id="rId67" xr:uid="{69B8BDD9-1768-41BE-9FE7-7925B9065390}"/>
    <hyperlink ref="N129" r:id="rId68" xr:uid="{48CAD1D4-B4DF-4911-A411-E6471EA4219A}"/>
    <hyperlink ref="N130" r:id="rId69" xr:uid="{D2322365-98A8-4B2D-A727-A015DE40B523}"/>
    <hyperlink ref="N131" r:id="rId70" xr:uid="{AF6DE2D0-51B8-456B-BC4D-5EE12AA9E27B}"/>
    <hyperlink ref="N212" r:id="rId71" xr:uid="{1363C983-5BE3-46D3-8B18-454E7D6067FC}"/>
    <hyperlink ref="N132" r:id="rId72" xr:uid="{5A307BC0-62DC-4476-AC44-F00CB3B6F70F}"/>
    <hyperlink ref="N174" r:id="rId73" xr:uid="{E8250D90-D889-4D2D-BE89-9AE64EC00460}"/>
    <hyperlink ref="N213" r:id="rId74" xr:uid="{87E64F5D-1CF3-4F71-B924-31D4EF0E92FF}"/>
    <hyperlink ref="N235" r:id="rId75" xr:uid="{37D6CC6A-5E92-44F7-A576-8E941C92CF71}"/>
    <hyperlink ref="N214" r:id="rId76" xr:uid="{429EFCA8-AC52-42E1-81D5-599EAA34D533}"/>
    <hyperlink ref="N133" r:id="rId77" xr:uid="{3C3B0392-4AC1-424A-A15C-7A496A78047C}"/>
    <hyperlink ref="N198" r:id="rId78" xr:uid="{9A380BAE-4B8D-4D0E-B9A1-2BBBE457A52D}"/>
    <hyperlink ref="N236" r:id="rId79" xr:uid="{69911730-749C-4435-99EF-66E286F1D37B}"/>
    <hyperlink ref="N118" r:id="rId80" xr:uid="{01B2BBBC-45AF-4576-BA40-97E6E39A822E}"/>
    <hyperlink ref="N134" r:id="rId81" xr:uid="{556A3A57-CD95-47EB-A3B7-E055DC90CE96}"/>
    <hyperlink ref="N135" r:id="rId82" xr:uid="{9B2AFE7F-14B5-4E33-B922-67D6B96FC73C}"/>
    <hyperlink ref="N215" r:id="rId83" xr:uid="{8E10220E-2EE9-4120-830E-8342FC971BCE}"/>
    <hyperlink ref="N182" r:id="rId84" xr:uid="{6DE7BCDE-802D-4ACB-B626-807403A229D4}"/>
    <hyperlink ref="N199" r:id="rId85" xr:uid="{458375C9-0B08-45FB-A600-5769DDDDD5EC}"/>
    <hyperlink ref="N216" r:id="rId86" xr:uid="{46E9F200-1516-4B62-B1CF-449D49342568}"/>
    <hyperlink ref="N136" r:id="rId87" xr:uid="{9F3CC8E7-0FEE-478D-84E0-A8EA7CDCA288}"/>
    <hyperlink ref="N137" r:id="rId88" xr:uid="{61E4387E-FCAB-442A-A1E1-27A83532C3FC}"/>
    <hyperlink ref="N217" r:id="rId89" xr:uid="{9E2CF837-23C0-48EA-B297-52B0B2638FBD}"/>
    <hyperlink ref="N237" r:id="rId90" xr:uid="{B634B290-F55B-4EFD-BD5A-FC5DE57CFF2F}"/>
    <hyperlink ref="N138" r:id="rId91" xr:uid="{314FBDCA-EBBC-4990-87F9-496CCA8F3F67}"/>
    <hyperlink ref="N161" r:id="rId92" xr:uid="{2D632DFD-E19B-499B-984A-AE0A3356FD82}"/>
    <hyperlink ref="N218" r:id="rId93" xr:uid="{58C4C9F5-FF0D-4A19-9AFF-1CFA721E751F}"/>
    <hyperlink ref="N219" r:id="rId94" xr:uid="{C12EA97D-A3D9-4324-96B1-3DDCB8A23D90}"/>
    <hyperlink ref="N139" r:id="rId95" xr:uid="{CDD80FC9-0855-4057-A9FF-307B75C3AC34}"/>
    <hyperlink ref="N140" r:id="rId96" xr:uid="{83CD3617-679B-436B-8B29-5659E1924736}"/>
    <hyperlink ref="N141" r:id="rId97" xr:uid="{94BDD162-8850-457C-B6D0-B6E5511B9441}"/>
    <hyperlink ref="N142" r:id="rId98" xr:uid="{D033F22C-15D5-4D32-BF33-8C9F6A80DAC2}"/>
    <hyperlink ref="N183" r:id="rId99" xr:uid="{E9485497-A86A-40D6-A430-2809847C7733}"/>
    <hyperlink ref="N143" r:id="rId100" xr:uid="{D50E62C1-D760-4BB1-943A-B8CBF4AF5EA9}"/>
    <hyperlink ref="N220" r:id="rId101" xr:uid="{802F77EE-9DCC-4AF9-821C-5E3BC2D83574}"/>
    <hyperlink ref="N144" r:id="rId102" xr:uid="{BD5B2B26-F78A-4A93-A1AA-7863916EAEAF}"/>
    <hyperlink ref="N200" r:id="rId103" xr:uid="{4F1336BA-E217-4120-BF64-70F268E17692}"/>
    <hyperlink ref="N119" r:id="rId104" xr:uid="{7E1EB31F-ED39-4231-8395-38F690300DBD}"/>
    <hyperlink ref="N145" r:id="rId105" xr:uid="{143103EB-5746-4196-9BBD-ED8503CC944E}"/>
    <hyperlink ref="N146" r:id="rId106" xr:uid="{AB00006F-5664-4E26-98F9-835F074C3F80}"/>
    <hyperlink ref="N221" r:id="rId107" xr:uid="{83DF624C-2757-43F4-8DB2-8F10B0DE794F}"/>
    <hyperlink ref="N222" r:id="rId108" xr:uid="{26A69813-8D77-461B-8CF5-3D9DF8B05F1A}"/>
    <hyperlink ref="N147" r:id="rId109" xr:uid="{BA12F8DA-02FE-42D5-A38F-410A3303B6A8}"/>
    <hyperlink ref="N238" r:id="rId110" xr:uid="{290C956F-8B15-46FE-B7FB-7E9EF78E5177}"/>
    <hyperlink ref="N148" r:id="rId111" xr:uid="{18C7BC3D-6925-47F4-B822-205D1927C4B8}"/>
    <hyperlink ref="N149" r:id="rId112" xr:uid="{3C69B0BE-54E1-4F45-82AA-3D2B50FDCAA0}"/>
    <hyperlink ref="N150" r:id="rId113" xr:uid="{3F04F68A-4F72-4C40-8528-10A0AFA9A367}"/>
    <hyperlink ref="N151" r:id="rId114" xr:uid="{B6250997-9886-4035-BCA1-A3CEAC8CBF88}"/>
    <hyperlink ref="N152" r:id="rId115" xr:uid="{6C35D850-8944-4773-9D06-58B1B567BE07}"/>
    <hyperlink ref="N184" r:id="rId116" xr:uid="{7AE31CEC-5B96-469B-A88E-92D531AAAE87}"/>
    <hyperlink ref="N19" r:id="rId117" xr:uid="{49E494EA-DAE4-46BB-8665-948A9CCD31C2}"/>
    <hyperlink ref="N4" r:id="rId118" xr:uid="{E4C833CB-99F3-4CFF-988D-284B94088813}"/>
    <hyperlink ref="N22" r:id="rId119" xr:uid="{7039E10E-DDE2-4422-ADCC-CCA24A5E8DEF}"/>
    <hyperlink ref="N5" r:id="rId120" xr:uid="{793B8D45-DC24-4C32-BA78-26AC9E685E21}"/>
    <hyperlink ref="N14" r:id="rId121" xr:uid="{8CB6A0EC-03FA-4563-B587-0CDB04CC0ED1}"/>
    <hyperlink ref="N6" r:id="rId122" xr:uid="{6F8FDD14-EA17-49E7-959B-DC40261CAAEE}"/>
    <hyperlink ref="N252" r:id="rId123" xr:uid="{36DB8D28-30DB-491B-AE22-C3614173B29E}"/>
    <hyperlink ref="N23" r:id="rId124" xr:uid="{74D24C4A-586C-48DF-BE60-5FC43B28EE80}"/>
    <hyperlink ref="N253" r:id="rId125" xr:uid="{3B929A63-EF4E-4878-AC92-31922960B805}"/>
    <hyperlink ref="N7" r:id="rId126" xr:uid="{D247E7AD-3131-405E-87CA-2BDAACEB6681}"/>
    <hyperlink ref="N8" r:id="rId127" xr:uid="{6B49154C-1AF5-4794-800A-24FF746E7B2E}"/>
    <hyperlink ref="N9" r:id="rId128" xr:uid="{6B183BB6-5F11-4587-AF5C-DE45F7BFEF1D}"/>
    <hyperlink ref="N254" r:id="rId129" xr:uid="{07A3DB73-F5C7-4F60-92E1-0FEDFF3C54C3}"/>
    <hyperlink ref="N10" r:id="rId130" xr:uid="{9493608C-E50A-46F1-8813-5A18B2AAF75B}"/>
    <hyperlink ref="N20" r:id="rId131" xr:uid="{F71A9885-FEC0-4233-A857-13369FEF5ABA}"/>
    <hyperlink ref="N3" r:id="rId132" xr:uid="{CE997389-8AC7-44EE-8B98-9B6956034EA6}"/>
    <hyperlink ref="N11" r:id="rId133" xr:uid="{786B50B9-A336-4C36-8552-A169B9EC29E1}"/>
    <hyperlink ref="N17" r:id="rId134" xr:uid="{2E9591A6-2837-4739-9CDB-71A7FA7E23E8}"/>
    <hyperlink ref="N2" r:id="rId135" xr:uid="{88693D40-D3A6-4D86-8824-3D563367291B}"/>
    <hyperlink ref="N18" r:id="rId136" xr:uid="{602DD0C3-6471-4DF9-AED5-03CFD94B5E13}"/>
    <hyperlink ref="N24" r:id="rId137" xr:uid="{6088030D-A617-4719-A0E9-AE56573C39BC}"/>
    <hyperlink ref="N25" r:id="rId138" xr:uid="{64142C68-6DC2-4217-A0F3-EBB22AB3356C}"/>
    <hyperlink ref="N21" r:id="rId139" xr:uid="{263614EF-3810-434A-A20A-59D9F7E1199C}"/>
    <hyperlink ref="N12" r:id="rId140" xr:uid="{804073A6-0CA8-43C5-A981-995617728F78}"/>
    <hyperlink ref="N13" r:id="rId141" xr:uid="{E3200414-19A5-40FF-8DF9-01DDC6F3F3A6}"/>
    <hyperlink ref="N15" r:id="rId142" xr:uid="{E82C3E8E-22B5-4301-9B1D-0F715CC7B9C6}"/>
    <hyperlink ref="N16" r:id="rId143" xr:uid="{0EBCE134-DD7A-48AC-A9D5-571895CDE638}"/>
    <hyperlink ref="N32" r:id="rId144" xr:uid="{BA3464E8-EF26-4011-8A0B-876F4B852EEC}"/>
    <hyperlink ref="N33" r:id="rId145" xr:uid="{40633BCC-C101-4700-88F5-C1E21989F648}"/>
    <hyperlink ref="N96" r:id="rId146" xr:uid="{4BDCB437-6250-4A1A-84EE-8328AA37F2E8}"/>
    <hyperlink ref="N34" r:id="rId147" xr:uid="{9B2567E1-CA8E-42DB-B368-64664D901D67}"/>
    <hyperlink ref="N97" r:id="rId148" xr:uid="{C3764541-A946-4BDA-8276-0964DD5122E2}"/>
    <hyperlink ref="N35" r:id="rId149" xr:uid="{B0025DE7-EA83-4864-9617-FED857FF0B29}"/>
    <hyperlink ref="N26" r:id="rId150" xr:uid="{4FA136FC-58B4-4EFD-88CF-783945DE05F9}"/>
    <hyperlink ref="N36" r:id="rId151" xr:uid="{6DA19765-7275-4029-8843-DFD8C96863A6}"/>
    <hyperlink ref="N37" r:id="rId152" xr:uid="{0DEE983F-1B56-47DE-B532-B72966DDBA58}"/>
    <hyperlink ref="N38" r:id="rId153" xr:uid="{545A8EE5-61EC-403B-8C1F-C083CC5F0D89}"/>
    <hyperlink ref="N98" r:id="rId154" xr:uid="{AA34AE4F-B1EC-4D5C-9221-969F80BDDDDD}"/>
    <hyperlink ref="N107" r:id="rId155" xr:uid="{FCCFB59E-3470-4054-98FD-0BB7CADA044B}"/>
    <hyperlink ref="N91" r:id="rId156" xr:uid="{0ACED5B4-D41B-41DC-BD15-97E1AA63DF76}"/>
    <hyperlink ref="N39" r:id="rId157" xr:uid="{B7D8057A-9396-4D57-BF05-7FFDD04BC056}"/>
    <hyperlink ref="N40" r:id="rId158" xr:uid="{5AACD1A7-EB8A-4863-9E5A-E63DC8D7B2D5}"/>
    <hyperlink ref="N41" r:id="rId159" xr:uid="{F7A56505-4726-4C87-A154-3E183FB7E444}"/>
    <hyperlink ref="N108" r:id="rId160" xr:uid="{BBD89E86-0D1C-4642-BE9E-5DA429A6704B}"/>
    <hyperlink ref="N42" r:id="rId161" xr:uid="{911D85B3-E2C3-40BC-93A5-CE0E28ACF957}"/>
    <hyperlink ref="N243" r:id="rId162" xr:uid="{58807F6F-AC35-4345-B892-5B295903198D}"/>
    <hyperlink ref="N43" r:id="rId163" xr:uid="{5CFE7502-8F6E-4F26-B541-1180D9D54BAE}"/>
    <hyperlink ref="N244" r:id="rId164" xr:uid="{0812A9EE-845D-44C1-92A3-F4AE16274550}"/>
    <hyperlink ref="N44" r:id="rId165" xr:uid="{270C3341-6BE2-4890-84AD-A1BFC180D40E}"/>
    <hyperlink ref="N45" r:id="rId166" xr:uid="{6B3C866E-DAB9-4ECA-815B-3A0021AAD365}"/>
    <hyperlink ref="N99" r:id="rId167" xr:uid="{ACC2E6DA-BB35-436B-A9E8-4FD450BC6872}"/>
    <hyperlink ref="N245" r:id="rId168" xr:uid="{2A9E7B6F-E503-4392-877A-FB443472FCFA}"/>
    <hyperlink ref="N246" r:id="rId169" xr:uid="{688997A6-7F52-4B32-BF5A-2FD3713E0DA9}"/>
    <hyperlink ref="N247" r:id="rId170" xr:uid="{572F6CF3-25D4-4C6C-BA5F-9D284306F207}"/>
    <hyperlink ref="N46" r:id="rId171" xr:uid="{0EB1C174-B1AE-4D53-8C08-4B9B2242F0AC}"/>
    <hyperlink ref="N47" r:id="rId172" xr:uid="{3FB3524F-071F-4173-8467-A5B9EC2DD7A6}"/>
    <hyperlink ref="N48" r:id="rId173" xr:uid="{826EEFFA-1309-4038-AC19-85A3AD707D40}"/>
    <hyperlink ref="N49" r:id="rId174" xr:uid="{54C6475A-9B93-446C-B973-F32D665D5511}"/>
    <hyperlink ref="N50" r:id="rId175" xr:uid="{CE7B072E-9315-4F72-BDCF-171C52D49D63}"/>
    <hyperlink ref="N51" r:id="rId176" xr:uid="{1BB2075D-678E-4E7B-8337-F52795A1A23D}"/>
    <hyperlink ref="N52" r:id="rId177" xr:uid="{702BBEE8-208C-465A-B571-BC4ABE43E875}"/>
    <hyperlink ref="N53" r:id="rId178" xr:uid="{CC99897F-6EAC-40C1-A519-7F035247A769}"/>
    <hyperlink ref="N54" r:id="rId179" xr:uid="{7552BEAF-2D34-433B-8BE0-9C5FCAEFC506}"/>
    <hyperlink ref="N55" r:id="rId180" xr:uid="{B5422B8A-4F32-4254-876D-001307CE3C91}"/>
    <hyperlink ref="N248" r:id="rId181" xr:uid="{C8A29F4A-C0A6-440F-847E-3F025CA807C8}"/>
    <hyperlink ref="N56" r:id="rId182" xr:uid="{1DE3256B-D8F6-4F47-B05D-22C8A2DFBF9B}"/>
    <hyperlink ref="N57" r:id="rId183" xr:uid="{062340BF-DCC2-4336-9FBC-C4339F8FB116}"/>
    <hyperlink ref="N58" r:id="rId184" xr:uid="{3A8EDA17-AD3C-433D-B045-585F971E4F9F}"/>
    <hyperlink ref="N59" r:id="rId185" xr:uid="{27A61804-3BB5-4C7E-A8DF-BF38796DC9B9}"/>
    <hyperlink ref="N60" r:id="rId186" xr:uid="{15CA9229-80DE-45AA-A86E-090E1586C977}"/>
    <hyperlink ref="N100" r:id="rId187" xr:uid="{E7AC8EE6-C6F2-4676-9BB6-D6A50F063013}"/>
    <hyperlink ref="N61" r:id="rId188" xr:uid="{192C6B3A-08A4-432E-8B61-D58A5BE3C754}"/>
    <hyperlink ref="N103" r:id="rId189" xr:uid="{EB1EA385-51AA-4BC5-9DCE-0C655984B5C1}"/>
    <hyperlink ref="N62" r:id="rId190" xr:uid="{998563D0-D72A-44C8-B496-0356A746109C}"/>
    <hyperlink ref="N63" r:id="rId191" xr:uid="{03D687D2-8545-4D5C-B9E8-E99494826278}"/>
    <hyperlink ref="N104" r:id="rId192" xr:uid="{8158A67A-7643-4F12-9932-1AF6EBFE6B6A}"/>
    <hyperlink ref="N64" r:id="rId193" xr:uid="{2C602C93-43AC-4B40-912A-8EFCDFE58204}"/>
    <hyperlink ref="N65" r:id="rId194" xr:uid="{9CDA951F-5928-4FC1-A078-F83BEF5EEE6D}"/>
    <hyperlink ref="N27" r:id="rId195" xr:uid="{43386DA9-2F74-4B28-AB95-D5827C54E883}"/>
    <hyperlink ref="N249" r:id="rId196" xr:uid="{E4981DA1-69D7-457F-9AC0-7E277E7D5CFB}"/>
    <hyperlink ref="N66" r:id="rId197" xr:uid="{90E25903-05F0-4D46-9B2B-1CF7467E90DC}"/>
    <hyperlink ref="N67" r:id="rId198" xr:uid="{7F655303-646F-4317-867F-322E16EE9B04}"/>
    <hyperlink ref="N68" r:id="rId199" xr:uid="{F4FABC41-2109-43D3-B671-2D30568C50D5}"/>
    <hyperlink ref="N114" r:id="rId200" xr:uid="{1C956AA9-E7D9-452B-9617-EDE48FAEF15B}"/>
    <hyperlink ref="N69" r:id="rId201" xr:uid="{2A001A32-F4C3-4198-9618-26A26A8E0261}"/>
    <hyperlink ref="N70" r:id="rId202" xr:uid="{E1D8E621-4E59-416F-815D-B9EAE61A0788}"/>
    <hyperlink ref="N109" r:id="rId203" xr:uid="{A614B350-4259-4ECE-9A90-08D8DECAA3D0}"/>
    <hyperlink ref="N92" r:id="rId204" xr:uid="{9B211733-D894-4E24-964A-0BA2C0391D69}"/>
    <hyperlink ref="N111" r:id="rId205" xr:uid="{82507B63-DB3A-42BA-900A-9A1499A5A0AE}"/>
    <hyperlink ref="N110" r:id="rId206" xr:uid="{31F925C1-0319-44CF-BDBA-D04CBA90116E}"/>
    <hyperlink ref="N112" r:id="rId207" xr:uid="{8C80C125-9A2D-43F2-B6FB-C636FA804A37}"/>
    <hyperlink ref="N95" r:id="rId208" xr:uid="{B9403915-80BF-4A5A-93F1-2E116367BCE7}"/>
    <hyperlink ref="N71" r:id="rId209" xr:uid="{0B62CAC0-FAEE-4701-8FDA-B39A10175DF3}"/>
    <hyperlink ref="N72" r:id="rId210" xr:uid="{19443E55-B3E5-4671-A293-F3FD7EBFD09A}"/>
    <hyperlink ref="N73" r:id="rId211" xr:uid="{58C78E83-8BB5-4CAF-8F2B-124ECC682762}"/>
    <hyperlink ref="N74" r:id="rId212" xr:uid="{4C389280-E8EE-4AA6-9DB8-B05A4E97AF11}"/>
    <hyperlink ref="N75" r:id="rId213" xr:uid="{3C037F9A-4918-433C-B6F7-FFA68A1030DC}"/>
    <hyperlink ref="N76" r:id="rId214" xr:uid="{896998F3-BF15-4DDF-958B-EB24E8084C6F}"/>
    <hyperlink ref="N30" r:id="rId215" xr:uid="{4FAE189B-9A66-471A-AE20-C5450D24DA67}"/>
    <hyperlink ref="N115" r:id="rId216" xr:uid="{2437B092-8F13-485C-B743-BDC5E3DF06C8}"/>
    <hyperlink ref="N77" r:id="rId217" xr:uid="{AC6494F2-CB86-4B72-828A-EAD237087B1D}"/>
    <hyperlink ref="N78" r:id="rId218" xr:uid="{C87AA8A4-3A5A-419F-A66B-224AFBC502F3}"/>
    <hyperlink ref="N79" r:id="rId219" xr:uid="{F6D2BE35-A482-44B5-B314-39726C759EEF}"/>
    <hyperlink ref="N250" r:id="rId220" xr:uid="{54AC09B6-654E-4E41-9594-ACE9F1BDF680}"/>
    <hyperlink ref="N101" r:id="rId221" xr:uid="{480D5138-1F77-4841-B72D-825A892ADF51}"/>
    <hyperlink ref="N28" r:id="rId222" xr:uid="{E7DDC9B8-7DEE-4441-B526-80601901E709}"/>
    <hyperlink ref="N251" r:id="rId223" xr:uid="{4E7611FD-F2D9-4087-B2D7-195F363FEE90}"/>
    <hyperlink ref="N102" r:id="rId224" xr:uid="{59EFA72A-E443-4222-8FBC-CBACB90C1404}"/>
    <hyperlink ref="N80" r:id="rId225" xr:uid="{9B183B76-37D4-495E-8C99-44FEF5D0C989}"/>
    <hyperlink ref="N81" r:id="rId226" xr:uid="{D3D3AA65-E537-4A67-B858-1E03FC3EFBB5}"/>
    <hyperlink ref="N82" r:id="rId227" xr:uid="{B71595DD-8F40-4DB3-995D-BCC6BBEE41BC}"/>
    <hyperlink ref="N83" r:id="rId228" xr:uid="{90BFDDC9-54F9-4133-BBB9-48B30EBA9976}"/>
    <hyperlink ref="N84" r:id="rId229" xr:uid="{E90807A1-2AFD-4D15-81A7-8875F4D164B4}"/>
    <hyperlink ref="N113" r:id="rId230" xr:uid="{49835EF8-9859-4451-9ECF-8AB0FC5DD964}"/>
    <hyperlink ref="N85" r:id="rId231" xr:uid="{7EA699E7-68D1-49F3-9E91-8B2EC284C454}"/>
    <hyperlink ref="N86" r:id="rId232" xr:uid="{C0676F9B-9C92-43CD-9933-2C6784B4BF8F}"/>
    <hyperlink ref="N31" r:id="rId233" xr:uid="{60CC6AB8-0EA1-4BB1-953E-BA9B1C2CAFEF}"/>
    <hyperlink ref="N105" r:id="rId234" xr:uid="{064D3EA2-806C-4772-BAFC-1CB02C21E522}"/>
    <hyperlink ref="N106" r:id="rId235" xr:uid="{0416D74F-278F-4AD3-9205-00B296C423EB}"/>
    <hyperlink ref="N87" r:id="rId236" xr:uid="{02FA4664-C57F-42B9-AC03-C05AA89C0168}"/>
    <hyperlink ref="N116" r:id="rId237" xr:uid="{684FF973-2D77-4328-A8C1-DE2FE3BE13C7}"/>
    <hyperlink ref="N29" r:id="rId238" xr:uid="{B63ACD65-B49C-4CE1-A2B9-168F0FF23ED2}"/>
    <hyperlink ref="N88" r:id="rId239" xr:uid="{DCBC555B-AF38-4D83-9863-190FEAE25D0F}"/>
    <hyperlink ref="N89" r:id="rId240" xr:uid="{AB53D412-2981-4135-A772-22F51CE0CA2F}"/>
    <hyperlink ref="N153" r:id="rId241" xr:uid="{F613A018-D363-41DD-A9C3-9852FA3DAFBA}"/>
    <hyperlink ref="N154" r:id="rId242" xr:uid="{73D84E62-8344-48DB-AEBE-6DF5DA7256BE}"/>
    <hyperlink ref="N155" r:id="rId243" xr:uid="{142CCC30-DBB7-4F29-B4C1-7E804BA1BA73}"/>
    <hyperlink ref="N156" r:id="rId244" xr:uid="{52A43772-C7C5-4BAD-AC5C-9F647D65EE08}"/>
    <hyperlink ref="N186" r:id="rId245" xr:uid="{EDF770A2-A8D0-45E0-BD7B-0DE0BBF76188}"/>
    <hyperlink ref="N157" r:id="rId246" xr:uid="{4F46C771-7C9D-4AF5-BE4A-FC2EA1286BE9}"/>
    <hyperlink ref="N159" r:id="rId247" xr:uid="{F2F4DA0E-8F8C-4483-9509-E38E6BCAC5ED}"/>
    <hyperlink ref="N242" r:id="rId248" xr:uid="{083AA92D-C155-41F7-A54E-8B3BD2BB8259}"/>
    <hyperlink ref="N158" r:id="rId249" xr:uid="{ADC8BBBC-14F0-46DB-9F16-00260AF08337}"/>
    <hyperlink ref="N93" r:id="rId250" xr:uid="{7B5BAA6F-AE17-4925-8B34-7A97F5C89C22}"/>
    <hyperlink ref="N94" r:id="rId251" xr:uid="{50DAD6E1-69F9-4B21-AE74-2B90A55D82D4}"/>
    <hyperlink ref="N90" r:id="rId252" xr:uid="{392669D0-547D-4442-97D3-D70D68FAE505}"/>
    <hyperlink ref="N185" r:id="rId253" xr:uid="{20C7AC95-20FE-469B-A60F-CF3B57BC14AD}"/>
  </hyperlinks>
  <pageMargins left="0.7" right="0.7" top="0.75" bottom="0.75" header="0.3" footer="0.3"/>
  <tableParts count="1">
    <tablePart r:id="rId25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CFC08-DF11-4968-BA88-33C7EEF8B9B1}">
  <dimension ref="A1:O165"/>
  <sheetViews>
    <sheetView workbookViewId="0">
      <pane ySplit="1" topLeftCell="A2" activePane="bottomLeft" state="frozen"/>
      <selection pane="bottomLeft" activeCell="E160" sqref="E160"/>
    </sheetView>
  </sheetViews>
  <sheetFormatPr defaultRowHeight="16.2"/>
  <cols>
    <col min="1" max="1" width="9" bestFit="1" customWidth="1"/>
    <col min="4" max="5" width="15" bestFit="1" customWidth="1"/>
    <col min="6" max="6" width="52" customWidth="1"/>
    <col min="7" max="8" width="9" bestFit="1" customWidth="1"/>
    <col min="11" max="11" width="9" bestFit="1" customWidth="1"/>
    <col min="14" max="14" width="45.5546875" customWidth="1"/>
  </cols>
  <sheetData>
    <row r="1" spans="1:15">
      <c r="A1" s="216" t="s">
        <v>9182</v>
      </c>
      <c r="B1" s="216" t="s">
        <v>9183</v>
      </c>
      <c r="C1" s="216" t="s">
        <v>9915</v>
      </c>
      <c r="D1" s="217" t="s">
        <v>9916</v>
      </c>
      <c r="E1" s="217" t="s">
        <v>9917</v>
      </c>
      <c r="F1" s="218" t="s">
        <v>9918</v>
      </c>
      <c r="G1" s="216" t="s">
        <v>9919</v>
      </c>
      <c r="H1" s="216" t="s">
        <v>9920</v>
      </c>
      <c r="I1" s="216" t="s">
        <v>9921</v>
      </c>
      <c r="J1" s="216" t="s">
        <v>9922</v>
      </c>
      <c r="K1" s="216" t="s">
        <v>9923</v>
      </c>
      <c r="L1" s="216" t="s">
        <v>9924</v>
      </c>
      <c r="M1" s="216" t="s">
        <v>9925</v>
      </c>
      <c r="N1" s="219" t="s">
        <v>534</v>
      </c>
      <c r="O1" s="220"/>
    </row>
    <row r="2" spans="1:15" ht="26.4">
      <c r="A2" s="181">
        <v>1</v>
      </c>
      <c r="B2" s="221" t="s">
        <v>5071</v>
      </c>
      <c r="C2" s="222" t="s">
        <v>9316</v>
      </c>
      <c r="D2" s="223" t="s">
        <v>9926</v>
      </c>
      <c r="E2" s="223" t="s">
        <v>9927</v>
      </c>
      <c r="F2" s="224" t="s">
        <v>9928</v>
      </c>
      <c r="G2" s="181">
        <v>1</v>
      </c>
      <c r="H2" s="181">
        <v>1</v>
      </c>
      <c r="I2" s="221" t="s">
        <v>6533</v>
      </c>
      <c r="J2" s="221" t="s">
        <v>569</v>
      </c>
      <c r="K2" s="181">
        <v>2017</v>
      </c>
      <c r="L2" s="221" t="s">
        <v>9186</v>
      </c>
      <c r="M2" s="182"/>
      <c r="N2" s="225" t="s">
        <v>9929</v>
      </c>
      <c r="O2" s="226"/>
    </row>
    <row r="3" spans="1:15" ht="26.4">
      <c r="A3" s="181">
        <v>2</v>
      </c>
      <c r="B3" s="221" t="s">
        <v>5071</v>
      </c>
      <c r="C3" s="222" t="s">
        <v>9285</v>
      </c>
      <c r="D3" s="223" t="s">
        <v>9930</v>
      </c>
      <c r="E3" s="223" t="s">
        <v>9931</v>
      </c>
      <c r="F3" s="224" t="s">
        <v>9932</v>
      </c>
      <c r="G3" s="181">
        <v>1</v>
      </c>
      <c r="H3" s="181">
        <v>1</v>
      </c>
      <c r="I3" s="221" t="s">
        <v>9933</v>
      </c>
      <c r="J3" s="221" t="s">
        <v>569</v>
      </c>
      <c r="K3" s="181">
        <v>2017</v>
      </c>
      <c r="L3" s="221" t="s">
        <v>9186</v>
      </c>
      <c r="M3" s="182"/>
      <c r="N3" s="225" t="s">
        <v>9934</v>
      </c>
      <c r="O3" s="226"/>
    </row>
    <row r="4" spans="1:15" ht="26.4">
      <c r="A4" s="181">
        <v>3</v>
      </c>
      <c r="B4" s="221" t="s">
        <v>5071</v>
      </c>
      <c r="C4" s="222" t="s">
        <v>9201</v>
      </c>
      <c r="D4" s="223" t="s">
        <v>9935</v>
      </c>
      <c r="E4" s="223" t="s">
        <v>9936</v>
      </c>
      <c r="F4" s="224" t="s">
        <v>9937</v>
      </c>
      <c r="G4" s="181">
        <v>1</v>
      </c>
      <c r="H4" s="181">
        <v>1</v>
      </c>
      <c r="I4" s="221" t="s">
        <v>9938</v>
      </c>
      <c r="J4" s="221" t="s">
        <v>568</v>
      </c>
      <c r="K4" s="181">
        <v>2017</v>
      </c>
      <c r="L4" s="221" t="s">
        <v>9186</v>
      </c>
      <c r="M4" s="182"/>
      <c r="N4" s="225" t="s">
        <v>9939</v>
      </c>
      <c r="O4" s="226"/>
    </row>
    <row r="5" spans="1:15" ht="26.4">
      <c r="A5" s="181">
        <v>4</v>
      </c>
      <c r="B5" s="221" t="s">
        <v>5071</v>
      </c>
      <c r="C5" s="222" t="s">
        <v>9184</v>
      </c>
      <c r="D5" s="223" t="s">
        <v>9940</v>
      </c>
      <c r="E5" s="223" t="s">
        <v>9941</v>
      </c>
      <c r="F5" s="224" t="s">
        <v>9942</v>
      </c>
      <c r="G5" s="181">
        <v>1</v>
      </c>
      <c r="H5" s="181">
        <v>1</v>
      </c>
      <c r="I5" s="221" t="s">
        <v>9490</v>
      </c>
      <c r="J5" s="221" t="s">
        <v>569</v>
      </c>
      <c r="K5" s="181">
        <v>2017</v>
      </c>
      <c r="L5" s="221" t="s">
        <v>9186</v>
      </c>
      <c r="M5" s="182"/>
      <c r="N5" s="225" t="s">
        <v>9943</v>
      </c>
      <c r="O5" s="226"/>
    </row>
    <row r="6" spans="1:15" ht="26.4">
      <c r="A6" s="181">
        <v>5</v>
      </c>
      <c r="B6" s="221" t="s">
        <v>5071</v>
      </c>
      <c r="C6" s="222" t="s">
        <v>9184</v>
      </c>
      <c r="D6" s="223" t="s">
        <v>9944</v>
      </c>
      <c r="E6" s="223" t="s">
        <v>9945</v>
      </c>
      <c r="F6" s="224" t="s">
        <v>9946</v>
      </c>
      <c r="G6" s="181">
        <v>1</v>
      </c>
      <c r="H6" s="181">
        <v>1</v>
      </c>
      <c r="I6" s="221" t="s">
        <v>3082</v>
      </c>
      <c r="J6" s="221" t="s">
        <v>569</v>
      </c>
      <c r="K6" s="181">
        <v>2017</v>
      </c>
      <c r="L6" s="221" t="s">
        <v>9186</v>
      </c>
      <c r="M6" s="182"/>
      <c r="N6" s="225" t="s">
        <v>9947</v>
      </c>
      <c r="O6" s="226"/>
    </row>
    <row r="7" spans="1:15">
      <c r="A7" s="181">
        <v>6</v>
      </c>
      <c r="B7" s="221" t="s">
        <v>5071</v>
      </c>
      <c r="C7" s="222" t="s">
        <v>9316</v>
      </c>
      <c r="D7" s="223" t="s">
        <v>9948</v>
      </c>
      <c r="E7" s="223" t="s">
        <v>9949</v>
      </c>
      <c r="F7" s="224" t="s">
        <v>9950</v>
      </c>
      <c r="G7" s="181">
        <v>1</v>
      </c>
      <c r="H7" s="181">
        <v>1</v>
      </c>
      <c r="I7" s="221" t="s">
        <v>9951</v>
      </c>
      <c r="J7" s="221" t="s">
        <v>569</v>
      </c>
      <c r="K7" s="181">
        <v>2017</v>
      </c>
      <c r="L7" s="221" t="s">
        <v>9186</v>
      </c>
      <c r="M7" s="182"/>
      <c r="N7" s="225" t="s">
        <v>9952</v>
      </c>
      <c r="O7" s="226"/>
    </row>
    <row r="8" spans="1:15" ht="26.4">
      <c r="A8" s="181">
        <v>7</v>
      </c>
      <c r="B8" s="221" t="s">
        <v>5071</v>
      </c>
      <c r="C8" s="222" t="s">
        <v>9184</v>
      </c>
      <c r="D8" s="223" t="s">
        <v>9953</v>
      </c>
      <c r="E8" s="223" t="s">
        <v>9954</v>
      </c>
      <c r="F8" s="224" t="s">
        <v>9955</v>
      </c>
      <c r="G8" s="181">
        <v>1</v>
      </c>
      <c r="H8" s="181">
        <v>1</v>
      </c>
      <c r="I8" s="221" t="s">
        <v>9956</v>
      </c>
      <c r="J8" s="221" t="s">
        <v>569</v>
      </c>
      <c r="K8" s="181">
        <v>2018</v>
      </c>
      <c r="L8" s="221" t="s">
        <v>9186</v>
      </c>
      <c r="M8" s="182"/>
      <c r="N8" s="225" t="s">
        <v>9957</v>
      </c>
      <c r="O8" s="226"/>
    </row>
    <row r="9" spans="1:15">
      <c r="A9" s="181">
        <v>8</v>
      </c>
      <c r="B9" s="221" t="s">
        <v>5071</v>
      </c>
      <c r="C9" s="222" t="s">
        <v>9205</v>
      </c>
      <c r="D9" s="223" t="s">
        <v>9958</v>
      </c>
      <c r="E9" s="223" t="s">
        <v>9959</v>
      </c>
      <c r="F9" s="224" t="s">
        <v>9960</v>
      </c>
      <c r="G9" s="181">
        <v>1</v>
      </c>
      <c r="H9" s="181">
        <v>1</v>
      </c>
      <c r="I9" s="221" t="s">
        <v>3446</v>
      </c>
      <c r="J9" s="221" t="s">
        <v>568</v>
      </c>
      <c r="K9" s="181">
        <v>2019</v>
      </c>
      <c r="L9" s="221" t="s">
        <v>9186</v>
      </c>
      <c r="M9" s="182"/>
      <c r="N9" s="225" t="s">
        <v>9961</v>
      </c>
      <c r="O9" s="226"/>
    </row>
    <row r="10" spans="1:15" ht="26.4">
      <c r="A10" s="181">
        <v>9</v>
      </c>
      <c r="B10" s="221" t="s">
        <v>5071</v>
      </c>
      <c r="C10" s="222" t="s">
        <v>9243</v>
      </c>
      <c r="D10" s="223" t="s">
        <v>9962</v>
      </c>
      <c r="E10" s="223" t="s">
        <v>9963</v>
      </c>
      <c r="F10" s="224" t="s">
        <v>9964</v>
      </c>
      <c r="G10" s="181">
        <v>1</v>
      </c>
      <c r="H10" s="181">
        <v>1</v>
      </c>
      <c r="I10" s="221" t="s">
        <v>9965</v>
      </c>
      <c r="J10" s="221" t="s">
        <v>569</v>
      </c>
      <c r="K10" s="181">
        <v>2019</v>
      </c>
      <c r="L10" s="221" t="s">
        <v>9186</v>
      </c>
      <c r="M10" s="182"/>
      <c r="N10" s="225" t="s">
        <v>9966</v>
      </c>
      <c r="O10" s="226"/>
    </row>
    <row r="11" spans="1:15" ht="26.4">
      <c r="A11" s="181">
        <v>10</v>
      </c>
      <c r="B11" s="221" t="s">
        <v>5071</v>
      </c>
      <c r="C11" s="222" t="s">
        <v>9184</v>
      </c>
      <c r="D11" s="223" t="s">
        <v>9967</v>
      </c>
      <c r="E11" s="223" t="s">
        <v>9968</v>
      </c>
      <c r="F11" s="224" t="s">
        <v>9969</v>
      </c>
      <c r="G11" s="181">
        <v>1</v>
      </c>
      <c r="H11" s="181">
        <v>1</v>
      </c>
      <c r="I11" s="221" t="s">
        <v>2218</v>
      </c>
      <c r="J11" s="221" t="s">
        <v>569</v>
      </c>
      <c r="K11" s="181">
        <v>2019</v>
      </c>
      <c r="L11" s="221" t="s">
        <v>9186</v>
      </c>
      <c r="M11" s="182"/>
      <c r="N11" s="225" t="s">
        <v>9970</v>
      </c>
      <c r="O11" s="226"/>
    </row>
    <row r="12" spans="1:15">
      <c r="A12" s="181">
        <v>11</v>
      </c>
      <c r="B12" s="221" t="s">
        <v>5071</v>
      </c>
      <c r="C12" s="222" t="s">
        <v>9243</v>
      </c>
      <c r="D12" s="223" t="s">
        <v>9971</v>
      </c>
      <c r="E12" s="223" t="s">
        <v>9972</v>
      </c>
      <c r="F12" s="224" t="s">
        <v>9973</v>
      </c>
      <c r="G12" s="181">
        <v>1</v>
      </c>
      <c r="H12" s="181">
        <v>1</v>
      </c>
      <c r="I12" s="221" t="s">
        <v>9974</v>
      </c>
      <c r="J12" s="221" t="s">
        <v>569</v>
      </c>
      <c r="K12" s="181">
        <v>2019</v>
      </c>
      <c r="L12" s="221" t="s">
        <v>9186</v>
      </c>
      <c r="M12" s="182"/>
      <c r="N12" s="225" t="s">
        <v>9975</v>
      </c>
      <c r="O12" s="226"/>
    </row>
    <row r="13" spans="1:15" ht="26.4">
      <c r="A13" s="181">
        <v>12</v>
      </c>
      <c r="B13" s="221" t="s">
        <v>5071</v>
      </c>
      <c r="C13" s="222" t="s">
        <v>9184</v>
      </c>
      <c r="D13" s="223" t="s">
        <v>9976</v>
      </c>
      <c r="E13" s="223" t="s">
        <v>9977</v>
      </c>
      <c r="F13" s="224" t="s">
        <v>9978</v>
      </c>
      <c r="G13" s="181">
        <v>1</v>
      </c>
      <c r="H13" s="181">
        <v>1</v>
      </c>
      <c r="I13" s="221" t="s">
        <v>3446</v>
      </c>
      <c r="J13" s="221" t="s">
        <v>569</v>
      </c>
      <c r="K13" s="181">
        <v>2020</v>
      </c>
      <c r="L13" s="221" t="s">
        <v>9186</v>
      </c>
      <c r="M13" s="182"/>
      <c r="N13" s="225" t="s">
        <v>9979</v>
      </c>
      <c r="O13" s="226"/>
    </row>
    <row r="14" spans="1:15" ht="26.4">
      <c r="A14" s="181">
        <v>13</v>
      </c>
      <c r="B14" s="221" t="s">
        <v>5071</v>
      </c>
      <c r="C14" s="222" t="s">
        <v>9205</v>
      </c>
      <c r="D14" s="223" t="s">
        <v>9980</v>
      </c>
      <c r="E14" s="223" t="s">
        <v>9981</v>
      </c>
      <c r="F14" s="224" t="s">
        <v>9982</v>
      </c>
      <c r="G14" s="181">
        <v>1</v>
      </c>
      <c r="H14" s="181">
        <v>1</v>
      </c>
      <c r="I14" s="221" t="s">
        <v>5335</v>
      </c>
      <c r="J14" s="221" t="s">
        <v>568</v>
      </c>
      <c r="K14" s="181">
        <v>2020</v>
      </c>
      <c r="L14" s="221" t="s">
        <v>9186</v>
      </c>
      <c r="M14" s="182"/>
      <c r="N14" s="225" t="s">
        <v>9983</v>
      </c>
      <c r="O14" s="226"/>
    </row>
    <row r="15" spans="1:15">
      <c r="A15" s="181">
        <v>14</v>
      </c>
      <c r="B15" s="221" t="s">
        <v>5071</v>
      </c>
      <c r="C15" s="222" t="s">
        <v>9205</v>
      </c>
      <c r="D15" s="223" t="s">
        <v>9984</v>
      </c>
      <c r="E15" s="223" t="s">
        <v>9985</v>
      </c>
      <c r="F15" s="224" t="s">
        <v>9986</v>
      </c>
      <c r="G15" s="181">
        <v>1</v>
      </c>
      <c r="H15" s="181">
        <v>1</v>
      </c>
      <c r="I15" s="221" t="s">
        <v>8566</v>
      </c>
      <c r="J15" s="221" t="s">
        <v>568</v>
      </c>
      <c r="K15" s="181">
        <v>2020</v>
      </c>
      <c r="L15" s="221" t="s">
        <v>9186</v>
      </c>
      <c r="M15" s="182"/>
      <c r="N15" s="225" t="s">
        <v>9987</v>
      </c>
      <c r="O15" s="226"/>
    </row>
    <row r="16" spans="1:15" ht="26.4">
      <c r="A16" s="181">
        <v>15</v>
      </c>
      <c r="B16" s="221" t="s">
        <v>5071</v>
      </c>
      <c r="C16" s="222" t="s">
        <v>9205</v>
      </c>
      <c r="D16" s="223" t="s">
        <v>9988</v>
      </c>
      <c r="E16" s="223" t="s">
        <v>9989</v>
      </c>
      <c r="F16" s="224" t="s">
        <v>9990</v>
      </c>
      <c r="G16" s="181">
        <v>1</v>
      </c>
      <c r="H16" s="181">
        <v>1</v>
      </c>
      <c r="I16" s="221" t="s">
        <v>9991</v>
      </c>
      <c r="J16" s="221" t="s">
        <v>568</v>
      </c>
      <c r="K16" s="181">
        <v>2020</v>
      </c>
      <c r="L16" s="221" t="s">
        <v>9186</v>
      </c>
      <c r="M16" s="182"/>
      <c r="N16" s="225" t="s">
        <v>9992</v>
      </c>
      <c r="O16" s="226"/>
    </row>
    <row r="17" spans="1:15" ht="26.4">
      <c r="A17" s="181">
        <v>16</v>
      </c>
      <c r="B17" s="221" t="s">
        <v>5071</v>
      </c>
      <c r="C17" s="222" t="s">
        <v>9205</v>
      </c>
      <c r="D17" s="223" t="s">
        <v>9993</v>
      </c>
      <c r="E17" s="223" t="s">
        <v>9994</v>
      </c>
      <c r="F17" s="224" t="s">
        <v>9995</v>
      </c>
      <c r="G17" s="181">
        <v>1</v>
      </c>
      <c r="H17" s="181">
        <v>1</v>
      </c>
      <c r="I17" s="221" t="s">
        <v>9996</v>
      </c>
      <c r="J17" s="221" t="s">
        <v>568</v>
      </c>
      <c r="K17" s="181">
        <v>2020</v>
      </c>
      <c r="L17" s="221" t="s">
        <v>9186</v>
      </c>
      <c r="M17" s="182"/>
      <c r="N17" s="225" t="s">
        <v>9997</v>
      </c>
      <c r="O17" s="226"/>
    </row>
    <row r="18" spans="1:15">
      <c r="A18" s="181">
        <v>17</v>
      </c>
      <c r="B18" s="221" t="s">
        <v>5071</v>
      </c>
      <c r="C18" s="222" t="s">
        <v>9249</v>
      </c>
      <c r="D18" s="223" t="s">
        <v>9998</v>
      </c>
      <c r="E18" s="223" t="s">
        <v>9999</v>
      </c>
      <c r="F18" s="224" t="s">
        <v>10000</v>
      </c>
      <c r="G18" s="181">
        <v>1</v>
      </c>
      <c r="H18" s="181">
        <v>1</v>
      </c>
      <c r="I18" s="221" t="s">
        <v>10001</v>
      </c>
      <c r="J18" s="221" t="s">
        <v>569</v>
      </c>
      <c r="K18" s="181">
        <v>2020</v>
      </c>
      <c r="L18" s="221" t="s">
        <v>9186</v>
      </c>
      <c r="M18" s="182"/>
      <c r="N18" s="225" t="s">
        <v>10002</v>
      </c>
      <c r="O18" s="226"/>
    </row>
    <row r="19" spans="1:15" ht="26.4">
      <c r="A19" s="181">
        <v>18</v>
      </c>
      <c r="B19" s="221" t="s">
        <v>5071</v>
      </c>
      <c r="C19" s="222" t="s">
        <v>9184</v>
      </c>
      <c r="D19" s="223" t="s">
        <v>10003</v>
      </c>
      <c r="E19" s="223" t="s">
        <v>10004</v>
      </c>
      <c r="F19" s="224" t="s">
        <v>10005</v>
      </c>
      <c r="G19" s="181">
        <v>1</v>
      </c>
      <c r="H19" s="181">
        <v>1</v>
      </c>
      <c r="I19" s="221" t="s">
        <v>10006</v>
      </c>
      <c r="J19" s="221" t="s">
        <v>569</v>
      </c>
      <c r="K19" s="181">
        <v>2020</v>
      </c>
      <c r="L19" s="221" t="s">
        <v>9186</v>
      </c>
      <c r="M19" s="182"/>
      <c r="N19" s="225" t="s">
        <v>10007</v>
      </c>
      <c r="O19" s="226"/>
    </row>
    <row r="20" spans="1:15" ht="26.4">
      <c r="A20" s="181">
        <v>19</v>
      </c>
      <c r="B20" s="221" t="s">
        <v>5071</v>
      </c>
      <c r="C20" s="222" t="s">
        <v>9184</v>
      </c>
      <c r="D20" s="223" t="s">
        <v>10008</v>
      </c>
      <c r="E20" s="223" t="s">
        <v>10009</v>
      </c>
      <c r="F20" s="224" t="s">
        <v>10010</v>
      </c>
      <c r="G20" s="181">
        <v>1</v>
      </c>
      <c r="H20" s="181">
        <v>1</v>
      </c>
      <c r="I20" s="221" t="s">
        <v>881</v>
      </c>
      <c r="J20" s="221" t="s">
        <v>569</v>
      </c>
      <c r="K20" s="181">
        <v>2020</v>
      </c>
      <c r="L20" s="221" t="s">
        <v>9186</v>
      </c>
      <c r="M20" s="182"/>
      <c r="N20" s="225" t="s">
        <v>10011</v>
      </c>
      <c r="O20" s="226"/>
    </row>
    <row r="21" spans="1:15">
      <c r="A21" s="181">
        <v>20</v>
      </c>
      <c r="B21" s="221" t="s">
        <v>5071</v>
      </c>
      <c r="C21" s="222" t="s">
        <v>9336</v>
      </c>
      <c r="D21" s="223" t="s">
        <v>10012</v>
      </c>
      <c r="E21" s="223" t="s">
        <v>10013</v>
      </c>
      <c r="F21" s="224" t="s">
        <v>10014</v>
      </c>
      <c r="G21" s="181">
        <v>1</v>
      </c>
      <c r="H21" s="181">
        <v>1</v>
      </c>
      <c r="I21" s="221" t="s">
        <v>10015</v>
      </c>
      <c r="J21" s="221" t="s">
        <v>569</v>
      </c>
      <c r="K21" s="181">
        <v>2020</v>
      </c>
      <c r="L21" s="221" t="s">
        <v>9186</v>
      </c>
      <c r="M21" s="182"/>
      <c r="N21" s="225" t="s">
        <v>10016</v>
      </c>
      <c r="O21" s="226"/>
    </row>
    <row r="22" spans="1:15">
      <c r="A22" s="181">
        <v>21</v>
      </c>
      <c r="B22" s="221" t="s">
        <v>5071</v>
      </c>
      <c r="C22" s="222" t="s">
        <v>9205</v>
      </c>
      <c r="D22" s="223" t="s">
        <v>10017</v>
      </c>
      <c r="E22" s="223" t="s">
        <v>10018</v>
      </c>
      <c r="F22" s="224" t="s">
        <v>10019</v>
      </c>
      <c r="G22" s="181">
        <v>1</v>
      </c>
      <c r="H22" s="181">
        <v>1</v>
      </c>
      <c r="I22" s="221" t="s">
        <v>10020</v>
      </c>
      <c r="J22" s="221" t="s">
        <v>568</v>
      </c>
      <c r="K22" s="181">
        <v>2020</v>
      </c>
      <c r="L22" s="221" t="s">
        <v>9186</v>
      </c>
      <c r="M22" s="182"/>
      <c r="N22" s="225" t="s">
        <v>10021</v>
      </c>
      <c r="O22" s="226"/>
    </row>
    <row r="23" spans="1:15">
      <c r="A23" s="181">
        <v>22</v>
      </c>
      <c r="B23" s="221" t="s">
        <v>5071</v>
      </c>
      <c r="C23" s="222" t="s">
        <v>9184</v>
      </c>
      <c r="D23" s="223" t="s">
        <v>10022</v>
      </c>
      <c r="E23" s="223" t="s">
        <v>10023</v>
      </c>
      <c r="F23" s="224" t="s">
        <v>10024</v>
      </c>
      <c r="G23" s="181">
        <v>1</v>
      </c>
      <c r="H23" s="181">
        <v>1</v>
      </c>
      <c r="I23" s="221" t="s">
        <v>10025</v>
      </c>
      <c r="J23" s="221" t="s">
        <v>569</v>
      </c>
      <c r="K23" s="181">
        <v>2020</v>
      </c>
      <c r="L23" s="221" t="s">
        <v>9186</v>
      </c>
      <c r="M23" s="182"/>
      <c r="N23" s="225" t="s">
        <v>10026</v>
      </c>
      <c r="O23" s="226"/>
    </row>
    <row r="24" spans="1:15" ht="26.4">
      <c r="A24" s="181">
        <v>23</v>
      </c>
      <c r="B24" s="221" t="s">
        <v>5071</v>
      </c>
      <c r="C24" s="222" t="s">
        <v>9184</v>
      </c>
      <c r="D24" s="223" t="s">
        <v>10027</v>
      </c>
      <c r="E24" s="223" t="s">
        <v>10028</v>
      </c>
      <c r="F24" s="224" t="s">
        <v>10029</v>
      </c>
      <c r="G24" s="181">
        <v>1</v>
      </c>
      <c r="H24" s="181">
        <v>1</v>
      </c>
      <c r="I24" s="221" t="s">
        <v>10030</v>
      </c>
      <c r="J24" s="221" t="s">
        <v>569</v>
      </c>
      <c r="K24" s="181">
        <v>2020</v>
      </c>
      <c r="L24" s="221" t="s">
        <v>9186</v>
      </c>
      <c r="M24" s="182"/>
      <c r="N24" s="225" t="s">
        <v>10031</v>
      </c>
      <c r="O24" s="226"/>
    </row>
    <row r="25" spans="1:15" ht="26.4">
      <c r="A25" s="181">
        <v>24</v>
      </c>
      <c r="B25" s="221" t="s">
        <v>5071</v>
      </c>
      <c r="C25" s="222" t="s">
        <v>9243</v>
      </c>
      <c r="D25" s="223" t="s">
        <v>10032</v>
      </c>
      <c r="E25" s="223" t="s">
        <v>10033</v>
      </c>
      <c r="F25" s="224" t="s">
        <v>10034</v>
      </c>
      <c r="G25" s="181">
        <v>1</v>
      </c>
      <c r="H25" s="181">
        <v>1</v>
      </c>
      <c r="I25" s="221" t="s">
        <v>10035</v>
      </c>
      <c r="J25" s="221" t="s">
        <v>569</v>
      </c>
      <c r="K25" s="181">
        <v>2020</v>
      </c>
      <c r="L25" s="221" t="s">
        <v>9186</v>
      </c>
      <c r="M25" s="182"/>
      <c r="N25" s="225" t="s">
        <v>10036</v>
      </c>
      <c r="O25" s="226"/>
    </row>
    <row r="26" spans="1:15" ht="26.4">
      <c r="A26" s="181">
        <v>25</v>
      </c>
      <c r="B26" s="221" t="s">
        <v>5071</v>
      </c>
      <c r="C26" s="222" t="s">
        <v>9184</v>
      </c>
      <c r="D26" s="223" t="s">
        <v>10037</v>
      </c>
      <c r="E26" s="223" t="s">
        <v>10038</v>
      </c>
      <c r="F26" s="224" t="s">
        <v>10039</v>
      </c>
      <c r="G26" s="181">
        <v>1</v>
      </c>
      <c r="H26" s="181">
        <v>1</v>
      </c>
      <c r="I26" s="221" t="s">
        <v>10040</v>
      </c>
      <c r="J26" s="221" t="s">
        <v>569</v>
      </c>
      <c r="K26" s="181">
        <v>2021</v>
      </c>
      <c r="L26" s="221" t="s">
        <v>9186</v>
      </c>
      <c r="M26" s="182"/>
      <c r="N26" s="225" t="s">
        <v>10041</v>
      </c>
      <c r="O26" s="226"/>
    </row>
    <row r="27" spans="1:15">
      <c r="A27" s="181">
        <v>26</v>
      </c>
      <c r="B27" s="221" t="s">
        <v>5071</v>
      </c>
      <c r="C27" s="222" t="s">
        <v>9205</v>
      </c>
      <c r="D27" s="223" t="s">
        <v>10042</v>
      </c>
      <c r="E27" s="223" t="s">
        <v>10043</v>
      </c>
      <c r="F27" s="224" t="s">
        <v>10044</v>
      </c>
      <c r="G27" s="181">
        <v>1</v>
      </c>
      <c r="H27" s="181">
        <v>1</v>
      </c>
      <c r="I27" s="221" t="s">
        <v>10045</v>
      </c>
      <c r="J27" s="221" t="s">
        <v>568</v>
      </c>
      <c r="K27" s="181">
        <v>2020</v>
      </c>
      <c r="L27" s="221" t="s">
        <v>9186</v>
      </c>
      <c r="M27" s="182"/>
      <c r="N27" s="225" t="s">
        <v>10046</v>
      </c>
      <c r="O27" s="226"/>
    </row>
    <row r="28" spans="1:15" ht="26.4">
      <c r="A28" s="181">
        <v>27</v>
      </c>
      <c r="B28" s="221" t="s">
        <v>5071</v>
      </c>
      <c r="C28" s="222" t="s">
        <v>9184</v>
      </c>
      <c r="D28" s="223" t="s">
        <v>10047</v>
      </c>
      <c r="E28" s="223" t="s">
        <v>10048</v>
      </c>
      <c r="F28" s="224" t="s">
        <v>10049</v>
      </c>
      <c r="G28" s="181">
        <v>1</v>
      </c>
      <c r="H28" s="181">
        <v>1</v>
      </c>
      <c r="I28" s="221" t="s">
        <v>8841</v>
      </c>
      <c r="J28" s="221" t="s">
        <v>569</v>
      </c>
      <c r="K28" s="181">
        <v>2021</v>
      </c>
      <c r="L28" s="221" t="s">
        <v>9186</v>
      </c>
      <c r="M28" s="182"/>
      <c r="N28" s="225" t="s">
        <v>10050</v>
      </c>
      <c r="O28" s="226"/>
    </row>
    <row r="29" spans="1:15" ht="26.4">
      <c r="A29" s="181">
        <v>28</v>
      </c>
      <c r="B29" s="221" t="s">
        <v>5071</v>
      </c>
      <c r="C29" s="222" t="s">
        <v>9285</v>
      </c>
      <c r="D29" s="223" t="s">
        <v>10051</v>
      </c>
      <c r="E29" s="223" t="s">
        <v>10052</v>
      </c>
      <c r="F29" s="224" t="s">
        <v>10053</v>
      </c>
      <c r="G29" s="181">
        <v>1</v>
      </c>
      <c r="H29" s="181">
        <v>1</v>
      </c>
      <c r="I29" s="221" t="s">
        <v>7445</v>
      </c>
      <c r="J29" s="221" t="s">
        <v>569</v>
      </c>
      <c r="K29" s="181">
        <v>2021</v>
      </c>
      <c r="L29" s="221" t="s">
        <v>9186</v>
      </c>
      <c r="M29" s="182"/>
      <c r="N29" s="225" t="s">
        <v>10054</v>
      </c>
      <c r="O29" s="226"/>
    </row>
    <row r="30" spans="1:15" ht="26.4">
      <c r="A30" s="181">
        <v>29</v>
      </c>
      <c r="B30" s="221" t="s">
        <v>5071</v>
      </c>
      <c r="C30" s="222" t="s">
        <v>9316</v>
      </c>
      <c r="D30" s="223" t="s">
        <v>10055</v>
      </c>
      <c r="E30" s="223" t="s">
        <v>10056</v>
      </c>
      <c r="F30" s="224" t="s">
        <v>10057</v>
      </c>
      <c r="G30" s="181">
        <v>1</v>
      </c>
      <c r="H30" s="181">
        <v>1</v>
      </c>
      <c r="I30" s="221" t="s">
        <v>10058</v>
      </c>
      <c r="J30" s="221" t="s">
        <v>569</v>
      </c>
      <c r="K30" s="181">
        <v>2021</v>
      </c>
      <c r="L30" s="221" t="s">
        <v>9186</v>
      </c>
      <c r="M30" s="182"/>
      <c r="N30" s="225" t="s">
        <v>10059</v>
      </c>
      <c r="O30" s="226"/>
    </row>
    <row r="31" spans="1:15">
      <c r="A31" s="181">
        <v>30</v>
      </c>
      <c r="B31" s="221" t="s">
        <v>5071</v>
      </c>
      <c r="C31" s="222" t="s">
        <v>9249</v>
      </c>
      <c r="D31" s="223" t="s">
        <v>10060</v>
      </c>
      <c r="E31" s="223" t="s">
        <v>10061</v>
      </c>
      <c r="F31" s="224" t="s">
        <v>10062</v>
      </c>
      <c r="G31" s="181">
        <v>1</v>
      </c>
      <c r="H31" s="181">
        <v>1</v>
      </c>
      <c r="I31" s="221" t="s">
        <v>10063</v>
      </c>
      <c r="J31" s="221" t="s">
        <v>569</v>
      </c>
      <c r="K31" s="181">
        <v>2021</v>
      </c>
      <c r="L31" s="221" t="s">
        <v>9186</v>
      </c>
      <c r="M31" s="182"/>
      <c r="N31" s="225" t="s">
        <v>10064</v>
      </c>
      <c r="O31" s="226"/>
    </row>
    <row r="32" spans="1:15" ht="39.6">
      <c r="A32" s="181">
        <v>31</v>
      </c>
      <c r="B32" s="221" t="s">
        <v>5071</v>
      </c>
      <c r="C32" s="222" t="s">
        <v>9184</v>
      </c>
      <c r="D32" s="223" t="s">
        <v>10065</v>
      </c>
      <c r="E32" s="223" t="s">
        <v>10066</v>
      </c>
      <c r="F32" s="224" t="s">
        <v>10067</v>
      </c>
      <c r="G32" s="181">
        <v>1</v>
      </c>
      <c r="H32" s="181">
        <v>1</v>
      </c>
      <c r="I32" s="221" t="s">
        <v>10068</v>
      </c>
      <c r="J32" s="221" t="s">
        <v>569</v>
      </c>
      <c r="K32" s="181">
        <v>2021</v>
      </c>
      <c r="L32" s="221" t="s">
        <v>9186</v>
      </c>
      <c r="M32" s="182"/>
      <c r="N32" s="225" t="s">
        <v>10069</v>
      </c>
      <c r="O32" s="226"/>
    </row>
    <row r="33" spans="1:15">
      <c r="A33" s="181">
        <v>32</v>
      </c>
      <c r="B33" s="221" t="s">
        <v>5071</v>
      </c>
      <c r="C33" s="222" t="s">
        <v>9243</v>
      </c>
      <c r="D33" s="223" t="s">
        <v>10070</v>
      </c>
      <c r="E33" s="223" t="s">
        <v>10071</v>
      </c>
      <c r="F33" s="224" t="s">
        <v>10072</v>
      </c>
      <c r="G33" s="181">
        <v>1</v>
      </c>
      <c r="H33" s="181">
        <v>1</v>
      </c>
      <c r="I33" s="221" t="s">
        <v>7037</v>
      </c>
      <c r="J33" s="221" t="s">
        <v>569</v>
      </c>
      <c r="K33" s="181">
        <v>2021</v>
      </c>
      <c r="L33" s="221" t="s">
        <v>9186</v>
      </c>
      <c r="M33" s="182"/>
      <c r="N33" s="225" t="s">
        <v>10073</v>
      </c>
      <c r="O33" s="226"/>
    </row>
    <row r="34" spans="1:15" ht="26.4">
      <c r="A34" s="181">
        <v>33</v>
      </c>
      <c r="B34" s="221" t="s">
        <v>5071</v>
      </c>
      <c r="C34" s="222" t="s">
        <v>9228</v>
      </c>
      <c r="D34" s="223" t="s">
        <v>10074</v>
      </c>
      <c r="E34" s="223" t="s">
        <v>10075</v>
      </c>
      <c r="F34" s="224" t="s">
        <v>10076</v>
      </c>
      <c r="G34" s="181">
        <v>1</v>
      </c>
      <c r="H34" s="181">
        <v>1</v>
      </c>
      <c r="I34" s="221" t="s">
        <v>10077</v>
      </c>
      <c r="J34" s="221" t="s">
        <v>568</v>
      </c>
      <c r="K34" s="181">
        <v>2021</v>
      </c>
      <c r="L34" s="221" t="s">
        <v>9186</v>
      </c>
      <c r="M34" s="182"/>
      <c r="N34" s="225" t="s">
        <v>10078</v>
      </c>
      <c r="O34" s="226"/>
    </row>
    <row r="35" spans="1:15" ht="26.4">
      <c r="A35" s="181">
        <v>34</v>
      </c>
      <c r="B35" s="221" t="s">
        <v>5071</v>
      </c>
      <c r="C35" s="222" t="s">
        <v>10079</v>
      </c>
      <c r="D35" s="223" t="s">
        <v>10080</v>
      </c>
      <c r="E35" s="223" t="s">
        <v>10081</v>
      </c>
      <c r="F35" s="224" t="s">
        <v>10082</v>
      </c>
      <c r="G35" s="181">
        <v>1</v>
      </c>
      <c r="H35" s="181">
        <v>1</v>
      </c>
      <c r="I35" s="221" t="s">
        <v>8234</v>
      </c>
      <c r="J35" s="221" t="s">
        <v>1233</v>
      </c>
      <c r="K35" s="181">
        <v>2021</v>
      </c>
      <c r="L35" s="221" t="s">
        <v>9186</v>
      </c>
      <c r="M35" s="182"/>
      <c r="N35" s="225" t="s">
        <v>10083</v>
      </c>
      <c r="O35" s="226"/>
    </row>
    <row r="36" spans="1:15">
      <c r="A36" s="181">
        <v>35</v>
      </c>
      <c r="B36" s="221" t="s">
        <v>5071</v>
      </c>
      <c r="C36" s="222" t="s">
        <v>9285</v>
      </c>
      <c r="D36" s="223" t="s">
        <v>10084</v>
      </c>
      <c r="E36" s="223" t="s">
        <v>10085</v>
      </c>
      <c r="F36" s="224" t="s">
        <v>10086</v>
      </c>
      <c r="G36" s="181">
        <v>1</v>
      </c>
      <c r="H36" s="181">
        <v>1</v>
      </c>
      <c r="I36" s="221" t="s">
        <v>10087</v>
      </c>
      <c r="J36" s="221" t="s">
        <v>569</v>
      </c>
      <c r="K36" s="181">
        <v>2021</v>
      </c>
      <c r="L36" s="221" t="s">
        <v>9186</v>
      </c>
      <c r="M36" s="182"/>
      <c r="N36" s="225" t="s">
        <v>10088</v>
      </c>
      <c r="O36" s="226"/>
    </row>
    <row r="37" spans="1:15">
      <c r="A37" s="181">
        <v>36</v>
      </c>
      <c r="B37" s="221" t="s">
        <v>5071</v>
      </c>
      <c r="C37" s="222" t="s">
        <v>9228</v>
      </c>
      <c r="D37" s="223" t="s">
        <v>10089</v>
      </c>
      <c r="E37" s="223" t="s">
        <v>10090</v>
      </c>
      <c r="F37" s="224" t="s">
        <v>10091</v>
      </c>
      <c r="G37" s="181">
        <v>1</v>
      </c>
      <c r="H37" s="181">
        <v>1</v>
      </c>
      <c r="I37" s="221" t="s">
        <v>7942</v>
      </c>
      <c r="J37" s="221" t="s">
        <v>568</v>
      </c>
      <c r="K37" s="181">
        <v>2021</v>
      </c>
      <c r="L37" s="221" t="s">
        <v>9186</v>
      </c>
      <c r="M37" s="182"/>
      <c r="N37" s="225" t="s">
        <v>10092</v>
      </c>
      <c r="O37" s="226"/>
    </row>
    <row r="38" spans="1:15" ht="26.4">
      <c r="A38" s="181">
        <v>37</v>
      </c>
      <c r="B38" s="221" t="s">
        <v>5071</v>
      </c>
      <c r="C38" s="222" t="s">
        <v>9201</v>
      </c>
      <c r="D38" s="223" t="s">
        <v>10093</v>
      </c>
      <c r="E38" s="223" t="s">
        <v>10094</v>
      </c>
      <c r="F38" s="224" t="s">
        <v>10095</v>
      </c>
      <c r="G38" s="181">
        <v>1</v>
      </c>
      <c r="H38" s="181">
        <v>1</v>
      </c>
      <c r="I38" s="221" t="s">
        <v>10096</v>
      </c>
      <c r="J38" s="221" t="s">
        <v>568</v>
      </c>
      <c r="K38" s="181">
        <v>2021</v>
      </c>
      <c r="L38" s="221" t="s">
        <v>9186</v>
      </c>
      <c r="M38" s="182"/>
      <c r="N38" s="225" t="s">
        <v>10097</v>
      </c>
      <c r="O38" s="226"/>
    </row>
    <row r="39" spans="1:15">
      <c r="A39" s="181">
        <v>38</v>
      </c>
      <c r="B39" s="221" t="s">
        <v>5071</v>
      </c>
      <c r="C39" s="222" t="s">
        <v>9184</v>
      </c>
      <c r="D39" s="223" t="s">
        <v>10098</v>
      </c>
      <c r="E39" s="223" t="s">
        <v>10099</v>
      </c>
      <c r="F39" s="224" t="s">
        <v>10100</v>
      </c>
      <c r="G39" s="181">
        <v>1</v>
      </c>
      <c r="H39" s="181">
        <v>1</v>
      </c>
      <c r="I39" s="221" t="s">
        <v>10101</v>
      </c>
      <c r="J39" s="221" t="s">
        <v>569</v>
      </c>
      <c r="K39" s="181">
        <v>2021</v>
      </c>
      <c r="L39" s="221" t="s">
        <v>9186</v>
      </c>
      <c r="M39" s="182"/>
      <c r="N39" s="225" t="s">
        <v>10102</v>
      </c>
      <c r="O39" s="226"/>
    </row>
    <row r="40" spans="1:15" ht="26.4">
      <c r="A40" s="181">
        <v>39</v>
      </c>
      <c r="B40" s="221" t="s">
        <v>5071</v>
      </c>
      <c r="C40" s="222" t="s">
        <v>9228</v>
      </c>
      <c r="D40" s="223" t="s">
        <v>10103</v>
      </c>
      <c r="E40" s="223" t="s">
        <v>10104</v>
      </c>
      <c r="F40" s="224" t="s">
        <v>10105</v>
      </c>
      <c r="G40" s="181">
        <v>1</v>
      </c>
      <c r="H40" s="181">
        <v>1</v>
      </c>
      <c r="I40" s="221" t="s">
        <v>10106</v>
      </c>
      <c r="J40" s="221" t="s">
        <v>568</v>
      </c>
      <c r="K40" s="181">
        <v>2021</v>
      </c>
      <c r="L40" s="221" t="s">
        <v>9186</v>
      </c>
      <c r="M40" s="182"/>
      <c r="N40" s="225" t="s">
        <v>10107</v>
      </c>
      <c r="O40" s="226"/>
    </row>
    <row r="41" spans="1:15" ht="26.4">
      <c r="A41" s="181">
        <v>40</v>
      </c>
      <c r="B41" s="221" t="s">
        <v>5071</v>
      </c>
      <c r="C41" s="222" t="s">
        <v>9228</v>
      </c>
      <c r="D41" s="223" t="s">
        <v>10108</v>
      </c>
      <c r="E41" s="223" t="s">
        <v>10109</v>
      </c>
      <c r="F41" s="224" t="s">
        <v>10110</v>
      </c>
      <c r="G41" s="181">
        <v>1</v>
      </c>
      <c r="H41" s="181">
        <v>1</v>
      </c>
      <c r="I41" s="221" t="s">
        <v>7942</v>
      </c>
      <c r="J41" s="221" t="s">
        <v>568</v>
      </c>
      <c r="K41" s="181">
        <v>2021</v>
      </c>
      <c r="L41" s="221" t="s">
        <v>9186</v>
      </c>
      <c r="M41" s="182"/>
      <c r="N41" s="225" t="s">
        <v>10111</v>
      </c>
      <c r="O41" s="226"/>
    </row>
    <row r="42" spans="1:15" ht="26.4">
      <c r="A42" s="181">
        <v>41</v>
      </c>
      <c r="B42" s="221" t="s">
        <v>5071</v>
      </c>
      <c r="C42" s="222" t="s">
        <v>9184</v>
      </c>
      <c r="D42" s="223" t="s">
        <v>10112</v>
      </c>
      <c r="E42" s="223" t="s">
        <v>10113</v>
      </c>
      <c r="F42" s="224" t="s">
        <v>10114</v>
      </c>
      <c r="G42" s="181">
        <v>1</v>
      </c>
      <c r="H42" s="181">
        <v>1</v>
      </c>
      <c r="I42" s="221" t="s">
        <v>10115</v>
      </c>
      <c r="J42" s="221" t="s">
        <v>569</v>
      </c>
      <c r="K42" s="181">
        <v>2021</v>
      </c>
      <c r="L42" s="221" t="s">
        <v>9186</v>
      </c>
      <c r="M42" s="182"/>
      <c r="N42" s="225" t="s">
        <v>10116</v>
      </c>
      <c r="O42" s="226"/>
    </row>
    <row r="43" spans="1:15" ht="26.4">
      <c r="A43" s="181">
        <v>42</v>
      </c>
      <c r="B43" s="221" t="s">
        <v>5071</v>
      </c>
      <c r="C43" s="222" t="s">
        <v>9228</v>
      </c>
      <c r="D43" s="223" t="s">
        <v>10117</v>
      </c>
      <c r="E43" s="223" t="s">
        <v>10118</v>
      </c>
      <c r="F43" s="224" t="s">
        <v>10119</v>
      </c>
      <c r="G43" s="181">
        <v>1</v>
      </c>
      <c r="H43" s="181">
        <v>1</v>
      </c>
      <c r="I43" s="221" t="s">
        <v>10120</v>
      </c>
      <c r="J43" s="221" t="s">
        <v>568</v>
      </c>
      <c r="K43" s="181">
        <v>2021</v>
      </c>
      <c r="L43" s="221" t="s">
        <v>9186</v>
      </c>
      <c r="M43" s="182"/>
      <c r="N43" s="225" t="s">
        <v>10121</v>
      </c>
      <c r="O43" s="226"/>
    </row>
    <row r="44" spans="1:15" ht="26.4">
      <c r="A44" s="181">
        <v>43</v>
      </c>
      <c r="B44" s="221" t="s">
        <v>5071</v>
      </c>
      <c r="C44" s="222" t="s">
        <v>9386</v>
      </c>
      <c r="D44" s="223" t="s">
        <v>10122</v>
      </c>
      <c r="E44" s="223" t="s">
        <v>10123</v>
      </c>
      <c r="F44" s="224" t="s">
        <v>10124</v>
      </c>
      <c r="G44" s="181">
        <v>1</v>
      </c>
      <c r="H44" s="181">
        <v>1</v>
      </c>
      <c r="I44" s="221" t="s">
        <v>10125</v>
      </c>
      <c r="J44" s="221" t="s">
        <v>569</v>
      </c>
      <c r="K44" s="181">
        <v>2021</v>
      </c>
      <c r="L44" s="221" t="s">
        <v>9186</v>
      </c>
      <c r="M44" s="182"/>
      <c r="N44" s="225" t="s">
        <v>10126</v>
      </c>
      <c r="O44" s="226"/>
    </row>
    <row r="45" spans="1:15" ht="26.4">
      <c r="A45" s="181">
        <v>44</v>
      </c>
      <c r="B45" s="221" t="s">
        <v>5071</v>
      </c>
      <c r="C45" s="222" t="s">
        <v>9243</v>
      </c>
      <c r="D45" s="223" t="s">
        <v>10127</v>
      </c>
      <c r="E45" s="223" t="s">
        <v>10128</v>
      </c>
      <c r="F45" s="224" t="s">
        <v>10129</v>
      </c>
      <c r="G45" s="181">
        <v>1</v>
      </c>
      <c r="H45" s="181">
        <v>1</v>
      </c>
      <c r="I45" s="221" t="s">
        <v>10130</v>
      </c>
      <c r="J45" s="221" t="s">
        <v>569</v>
      </c>
      <c r="K45" s="181">
        <v>2021</v>
      </c>
      <c r="L45" s="221" t="s">
        <v>9186</v>
      </c>
      <c r="M45" s="182"/>
      <c r="N45" s="225" t="s">
        <v>10131</v>
      </c>
      <c r="O45" s="226"/>
    </row>
    <row r="46" spans="1:15" ht="26.4">
      <c r="A46" s="181">
        <v>45</v>
      </c>
      <c r="B46" s="221" t="s">
        <v>5071</v>
      </c>
      <c r="C46" s="222" t="s">
        <v>9184</v>
      </c>
      <c r="D46" s="223" t="s">
        <v>10132</v>
      </c>
      <c r="E46" s="223" t="s">
        <v>10133</v>
      </c>
      <c r="F46" s="224" t="s">
        <v>10134</v>
      </c>
      <c r="G46" s="181">
        <v>1</v>
      </c>
      <c r="H46" s="181">
        <v>1</v>
      </c>
      <c r="I46" s="221" t="s">
        <v>10135</v>
      </c>
      <c r="J46" s="221" t="s">
        <v>569</v>
      </c>
      <c r="K46" s="181">
        <v>2021</v>
      </c>
      <c r="L46" s="221" t="s">
        <v>9186</v>
      </c>
      <c r="M46" s="182"/>
      <c r="N46" s="225" t="s">
        <v>10136</v>
      </c>
      <c r="O46" s="226"/>
    </row>
    <row r="47" spans="1:15">
      <c r="A47" s="181">
        <v>46</v>
      </c>
      <c r="B47" s="221" t="s">
        <v>5071</v>
      </c>
      <c r="C47" s="222" t="s">
        <v>9201</v>
      </c>
      <c r="D47" s="223" t="s">
        <v>10137</v>
      </c>
      <c r="E47" s="223" t="s">
        <v>10138</v>
      </c>
      <c r="F47" s="224" t="s">
        <v>10139</v>
      </c>
      <c r="G47" s="181">
        <v>1</v>
      </c>
      <c r="H47" s="181">
        <v>1</v>
      </c>
      <c r="I47" s="221" t="s">
        <v>10140</v>
      </c>
      <c r="J47" s="221" t="s">
        <v>568</v>
      </c>
      <c r="K47" s="181">
        <v>2021</v>
      </c>
      <c r="L47" s="221" t="s">
        <v>9186</v>
      </c>
      <c r="M47" s="182"/>
      <c r="N47" s="225" t="s">
        <v>10141</v>
      </c>
      <c r="O47" s="226"/>
    </row>
    <row r="48" spans="1:15">
      <c r="A48" s="181">
        <v>47</v>
      </c>
      <c r="B48" s="221" t="s">
        <v>5071</v>
      </c>
      <c r="C48" s="222" t="s">
        <v>9201</v>
      </c>
      <c r="D48" s="223" t="s">
        <v>10142</v>
      </c>
      <c r="E48" s="223" t="s">
        <v>10143</v>
      </c>
      <c r="F48" s="224" t="s">
        <v>10144</v>
      </c>
      <c r="G48" s="181">
        <v>1</v>
      </c>
      <c r="H48" s="181">
        <v>1</v>
      </c>
      <c r="I48" s="221" t="s">
        <v>10145</v>
      </c>
      <c r="J48" s="221" t="s">
        <v>568</v>
      </c>
      <c r="K48" s="181">
        <v>2021</v>
      </c>
      <c r="L48" s="221" t="s">
        <v>9186</v>
      </c>
      <c r="M48" s="182"/>
      <c r="N48" s="225" t="s">
        <v>10146</v>
      </c>
      <c r="O48" s="226"/>
    </row>
    <row r="49" spans="1:15" ht="26.4">
      <c r="A49" s="181">
        <v>48</v>
      </c>
      <c r="B49" s="221" t="s">
        <v>5071</v>
      </c>
      <c r="C49" s="222" t="s">
        <v>9243</v>
      </c>
      <c r="D49" s="223" t="s">
        <v>10147</v>
      </c>
      <c r="E49" s="223" t="s">
        <v>10148</v>
      </c>
      <c r="F49" s="224" t="s">
        <v>10149</v>
      </c>
      <c r="G49" s="181">
        <v>1</v>
      </c>
      <c r="H49" s="181">
        <v>1</v>
      </c>
      <c r="I49" s="221" t="s">
        <v>10150</v>
      </c>
      <c r="J49" s="221" t="s">
        <v>569</v>
      </c>
      <c r="K49" s="181">
        <v>2022</v>
      </c>
      <c r="L49" s="221" t="s">
        <v>9186</v>
      </c>
      <c r="M49" s="182"/>
      <c r="N49" s="225" t="s">
        <v>10151</v>
      </c>
      <c r="O49" s="226"/>
    </row>
    <row r="50" spans="1:15" ht="26.4">
      <c r="A50" s="181">
        <v>49</v>
      </c>
      <c r="B50" s="221" t="s">
        <v>5071</v>
      </c>
      <c r="C50" s="222" t="s">
        <v>9201</v>
      </c>
      <c r="D50" s="223" t="s">
        <v>10152</v>
      </c>
      <c r="E50" s="223" t="s">
        <v>10153</v>
      </c>
      <c r="F50" s="224" t="s">
        <v>10154</v>
      </c>
      <c r="G50" s="181">
        <v>1</v>
      </c>
      <c r="H50" s="181">
        <v>1</v>
      </c>
      <c r="I50" s="221" t="s">
        <v>706</v>
      </c>
      <c r="J50" s="221" t="s">
        <v>568</v>
      </c>
      <c r="K50" s="181">
        <v>2022</v>
      </c>
      <c r="L50" s="221" t="s">
        <v>9186</v>
      </c>
      <c r="M50" s="182"/>
      <c r="N50" s="225" t="s">
        <v>10155</v>
      </c>
      <c r="O50" s="226"/>
    </row>
    <row r="51" spans="1:15" ht="26.4">
      <c r="A51" s="181">
        <v>50</v>
      </c>
      <c r="B51" s="221" t="s">
        <v>5071</v>
      </c>
      <c r="C51" s="222" t="s">
        <v>9205</v>
      </c>
      <c r="D51" s="223" t="s">
        <v>10156</v>
      </c>
      <c r="E51" s="223" t="s">
        <v>10157</v>
      </c>
      <c r="F51" s="224" t="s">
        <v>10158</v>
      </c>
      <c r="G51" s="181">
        <v>1</v>
      </c>
      <c r="H51" s="181">
        <v>1</v>
      </c>
      <c r="I51" s="221" t="s">
        <v>10159</v>
      </c>
      <c r="J51" s="221" t="s">
        <v>568</v>
      </c>
      <c r="K51" s="181">
        <v>2022</v>
      </c>
      <c r="L51" s="221" t="s">
        <v>9186</v>
      </c>
      <c r="M51" s="182"/>
      <c r="N51" s="225" t="s">
        <v>10160</v>
      </c>
      <c r="O51" s="226"/>
    </row>
    <row r="52" spans="1:15">
      <c r="A52" s="181">
        <v>51</v>
      </c>
      <c r="B52" s="221" t="s">
        <v>5071</v>
      </c>
      <c r="C52" s="222" t="s">
        <v>9184</v>
      </c>
      <c r="D52" s="223" t="s">
        <v>10161</v>
      </c>
      <c r="E52" s="223" t="s">
        <v>10162</v>
      </c>
      <c r="F52" s="224" t="s">
        <v>10163</v>
      </c>
      <c r="G52" s="181">
        <v>1</v>
      </c>
      <c r="H52" s="181">
        <v>1</v>
      </c>
      <c r="I52" s="221" t="s">
        <v>10164</v>
      </c>
      <c r="J52" s="221" t="s">
        <v>569</v>
      </c>
      <c r="K52" s="181">
        <v>2022</v>
      </c>
      <c r="L52" s="221" t="s">
        <v>9186</v>
      </c>
      <c r="M52" s="182"/>
      <c r="N52" s="225" t="s">
        <v>10165</v>
      </c>
      <c r="O52" s="226"/>
    </row>
    <row r="53" spans="1:15" ht="26.4">
      <c r="A53" s="181">
        <v>52</v>
      </c>
      <c r="B53" s="221" t="s">
        <v>5071</v>
      </c>
      <c r="C53" s="222" t="s">
        <v>9205</v>
      </c>
      <c r="D53" s="223" t="s">
        <v>10166</v>
      </c>
      <c r="E53" s="223" t="s">
        <v>10167</v>
      </c>
      <c r="F53" s="224" t="s">
        <v>10168</v>
      </c>
      <c r="G53" s="181">
        <v>1</v>
      </c>
      <c r="H53" s="181">
        <v>1</v>
      </c>
      <c r="I53" s="221" t="s">
        <v>10169</v>
      </c>
      <c r="J53" s="221" t="s">
        <v>568</v>
      </c>
      <c r="K53" s="181">
        <v>2022</v>
      </c>
      <c r="L53" s="221" t="s">
        <v>9186</v>
      </c>
      <c r="M53" s="182"/>
      <c r="N53" s="225" t="s">
        <v>10170</v>
      </c>
      <c r="O53" s="226"/>
    </row>
    <row r="54" spans="1:15" ht="26.4">
      <c r="A54" s="181">
        <v>53</v>
      </c>
      <c r="B54" s="221" t="s">
        <v>5071</v>
      </c>
      <c r="C54" s="222" t="s">
        <v>9184</v>
      </c>
      <c r="D54" s="223" t="s">
        <v>10171</v>
      </c>
      <c r="E54" s="223" t="s">
        <v>10172</v>
      </c>
      <c r="F54" s="224" t="s">
        <v>10173</v>
      </c>
      <c r="G54" s="181">
        <v>1</v>
      </c>
      <c r="H54" s="181">
        <v>1</v>
      </c>
      <c r="I54" s="221" t="s">
        <v>3446</v>
      </c>
      <c r="J54" s="221" t="s">
        <v>569</v>
      </c>
      <c r="K54" s="181">
        <v>2022</v>
      </c>
      <c r="L54" s="221" t="s">
        <v>9186</v>
      </c>
      <c r="M54" s="182"/>
      <c r="N54" s="225" t="s">
        <v>10174</v>
      </c>
      <c r="O54" s="226"/>
    </row>
    <row r="55" spans="1:15" ht="26.4">
      <c r="A55" s="181">
        <v>54</v>
      </c>
      <c r="B55" s="221" t="s">
        <v>5071</v>
      </c>
      <c r="C55" s="222" t="s">
        <v>9184</v>
      </c>
      <c r="D55" s="223" t="s">
        <v>10175</v>
      </c>
      <c r="E55" s="223" t="s">
        <v>10176</v>
      </c>
      <c r="F55" s="224" t="s">
        <v>10177</v>
      </c>
      <c r="G55" s="181">
        <v>1</v>
      </c>
      <c r="H55" s="181">
        <v>1</v>
      </c>
      <c r="I55" s="221" t="s">
        <v>10178</v>
      </c>
      <c r="J55" s="221" t="s">
        <v>569</v>
      </c>
      <c r="K55" s="181">
        <v>2022</v>
      </c>
      <c r="L55" s="221" t="s">
        <v>9186</v>
      </c>
      <c r="M55" s="182"/>
      <c r="N55" s="225" t="s">
        <v>10179</v>
      </c>
      <c r="O55" s="226"/>
    </row>
    <row r="56" spans="1:15">
      <c r="A56" s="181">
        <v>55</v>
      </c>
      <c r="B56" s="221" t="s">
        <v>5071</v>
      </c>
      <c r="C56" s="222" t="s">
        <v>9285</v>
      </c>
      <c r="D56" s="223" t="s">
        <v>10180</v>
      </c>
      <c r="E56" s="223" t="s">
        <v>10181</v>
      </c>
      <c r="F56" s="224" t="s">
        <v>10182</v>
      </c>
      <c r="G56" s="181">
        <v>1</v>
      </c>
      <c r="H56" s="181">
        <v>1</v>
      </c>
      <c r="I56" s="221" t="s">
        <v>10183</v>
      </c>
      <c r="J56" s="221" t="s">
        <v>569</v>
      </c>
      <c r="K56" s="181">
        <v>2022</v>
      </c>
      <c r="L56" s="221" t="s">
        <v>9186</v>
      </c>
      <c r="M56" s="182"/>
      <c r="N56" s="225" t="s">
        <v>10184</v>
      </c>
      <c r="O56" s="226"/>
    </row>
    <row r="57" spans="1:15" ht="26.4">
      <c r="A57" s="181">
        <v>56</v>
      </c>
      <c r="B57" s="221" t="s">
        <v>5071</v>
      </c>
      <c r="C57" s="222" t="s">
        <v>9201</v>
      </c>
      <c r="D57" s="223" t="s">
        <v>10185</v>
      </c>
      <c r="E57" s="223" t="s">
        <v>10186</v>
      </c>
      <c r="F57" s="224" t="s">
        <v>10187</v>
      </c>
      <c r="G57" s="181">
        <v>1</v>
      </c>
      <c r="H57" s="181">
        <v>1</v>
      </c>
      <c r="I57" s="221" t="s">
        <v>9203</v>
      </c>
      <c r="J57" s="221" t="s">
        <v>568</v>
      </c>
      <c r="K57" s="181">
        <v>2022</v>
      </c>
      <c r="L57" s="221" t="s">
        <v>9186</v>
      </c>
      <c r="M57" s="182"/>
      <c r="N57" s="225" t="s">
        <v>10188</v>
      </c>
      <c r="O57" s="226"/>
    </row>
    <row r="58" spans="1:15" ht="26.4">
      <c r="A58" s="181">
        <v>57</v>
      </c>
      <c r="B58" s="221" t="s">
        <v>5071</v>
      </c>
      <c r="C58" s="222" t="s">
        <v>9205</v>
      </c>
      <c r="D58" s="223" t="s">
        <v>10189</v>
      </c>
      <c r="E58" s="223" t="s">
        <v>10190</v>
      </c>
      <c r="F58" s="224" t="s">
        <v>10191</v>
      </c>
      <c r="G58" s="181">
        <v>1</v>
      </c>
      <c r="H58" s="181">
        <v>1</v>
      </c>
      <c r="I58" s="221" t="s">
        <v>10192</v>
      </c>
      <c r="J58" s="221" t="s">
        <v>568</v>
      </c>
      <c r="K58" s="181">
        <v>2022</v>
      </c>
      <c r="L58" s="221" t="s">
        <v>9186</v>
      </c>
      <c r="M58" s="182"/>
      <c r="N58" s="225" t="s">
        <v>10193</v>
      </c>
      <c r="O58" s="226"/>
    </row>
    <row r="59" spans="1:15" ht="26.4">
      <c r="A59" s="181">
        <v>58</v>
      </c>
      <c r="B59" s="221" t="s">
        <v>5071</v>
      </c>
      <c r="C59" s="222" t="s">
        <v>9205</v>
      </c>
      <c r="D59" s="223" t="s">
        <v>10194</v>
      </c>
      <c r="E59" s="223" t="s">
        <v>10195</v>
      </c>
      <c r="F59" s="224" t="s">
        <v>10196</v>
      </c>
      <c r="G59" s="181">
        <v>1</v>
      </c>
      <c r="H59" s="181">
        <v>1</v>
      </c>
      <c r="I59" s="221" t="s">
        <v>7118</v>
      </c>
      <c r="J59" s="221" t="s">
        <v>568</v>
      </c>
      <c r="K59" s="181">
        <v>2022</v>
      </c>
      <c r="L59" s="221" t="s">
        <v>9186</v>
      </c>
      <c r="M59" s="182"/>
      <c r="N59" s="225" t="s">
        <v>10197</v>
      </c>
      <c r="O59" s="226"/>
    </row>
    <row r="60" spans="1:15" ht="26.4">
      <c r="A60" s="181">
        <v>59</v>
      </c>
      <c r="B60" s="221" t="s">
        <v>5071</v>
      </c>
      <c r="C60" s="222" t="s">
        <v>9201</v>
      </c>
      <c r="D60" s="223" t="s">
        <v>10198</v>
      </c>
      <c r="E60" s="223" t="s">
        <v>10199</v>
      </c>
      <c r="F60" s="224" t="s">
        <v>10200</v>
      </c>
      <c r="G60" s="181">
        <v>1</v>
      </c>
      <c r="H60" s="181">
        <v>1</v>
      </c>
      <c r="I60" s="221" t="s">
        <v>10201</v>
      </c>
      <c r="J60" s="221" t="s">
        <v>568</v>
      </c>
      <c r="K60" s="181">
        <v>2022</v>
      </c>
      <c r="L60" s="221" t="s">
        <v>9186</v>
      </c>
      <c r="M60" s="182"/>
      <c r="N60" s="225" t="s">
        <v>10202</v>
      </c>
      <c r="O60" s="226"/>
    </row>
    <row r="61" spans="1:15" ht="26.4">
      <c r="A61" s="181">
        <v>60</v>
      </c>
      <c r="B61" s="221" t="s">
        <v>5071</v>
      </c>
      <c r="C61" s="222" t="s">
        <v>9201</v>
      </c>
      <c r="D61" s="223" t="s">
        <v>10203</v>
      </c>
      <c r="E61" s="223" t="s">
        <v>10204</v>
      </c>
      <c r="F61" s="224" t="s">
        <v>10205</v>
      </c>
      <c r="G61" s="181">
        <v>1</v>
      </c>
      <c r="H61" s="181">
        <v>1</v>
      </c>
      <c r="I61" s="221" t="s">
        <v>9209</v>
      </c>
      <c r="J61" s="221" t="s">
        <v>568</v>
      </c>
      <c r="K61" s="181">
        <v>2022</v>
      </c>
      <c r="L61" s="221" t="s">
        <v>9186</v>
      </c>
      <c r="M61" s="182"/>
      <c r="N61" s="225" t="s">
        <v>10206</v>
      </c>
      <c r="O61" s="226"/>
    </row>
    <row r="62" spans="1:15" ht="26.4">
      <c r="A62" s="181">
        <v>61</v>
      </c>
      <c r="B62" s="221" t="s">
        <v>5071</v>
      </c>
      <c r="C62" s="222" t="s">
        <v>9205</v>
      </c>
      <c r="D62" s="223" t="s">
        <v>10207</v>
      </c>
      <c r="E62" s="223" t="s">
        <v>10208</v>
      </c>
      <c r="F62" s="224" t="s">
        <v>10209</v>
      </c>
      <c r="G62" s="181">
        <v>1</v>
      </c>
      <c r="H62" s="181">
        <v>1</v>
      </c>
      <c r="I62" s="221" t="s">
        <v>10210</v>
      </c>
      <c r="J62" s="221" t="s">
        <v>568</v>
      </c>
      <c r="K62" s="181">
        <v>2022</v>
      </c>
      <c r="L62" s="221" t="s">
        <v>9186</v>
      </c>
      <c r="M62" s="182"/>
      <c r="N62" s="225" t="s">
        <v>10211</v>
      </c>
      <c r="O62" s="226"/>
    </row>
    <row r="63" spans="1:15" ht="26.4">
      <c r="A63" s="181">
        <v>62</v>
      </c>
      <c r="B63" s="221" t="s">
        <v>5071</v>
      </c>
      <c r="C63" s="222" t="s">
        <v>9205</v>
      </c>
      <c r="D63" s="223" t="s">
        <v>10212</v>
      </c>
      <c r="E63" s="223" t="s">
        <v>10213</v>
      </c>
      <c r="F63" s="224" t="s">
        <v>10214</v>
      </c>
      <c r="G63" s="181">
        <v>1</v>
      </c>
      <c r="H63" s="181">
        <v>1</v>
      </c>
      <c r="I63" s="221" t="s">
        <v>10215</v>
      </c>
      <c r="J63" s="221" t="s">
        <v>568</v>
      </c>
      <c r="K63" s="181">
        <v>2022</v>
      </c>
      <c r="L63" s="221" t="s">
        <v>9186</v>
      </c>
      <c r="M63" s="182"/>
      <c r="N63" s="225" t="s">
        <v>10216</v>
      </c>
      <c r="O63" s="226"/>
    </row>
    <row r="64" spans="1:15" ht="26.4">
      <c r="A64" s="181">
        <v>63</v>
      </c>
      <c r="B64" s="221" t="s">
        <v>5071</v>
      </c>
      <c r="C64" s="222" t="s">
        <v>9184</v>
      </c>
      <c r="D64" s="223" t="s">
        <v>10217</v>
      </c>
      <c r="E64" s="223" t="s">
        <v>10218</v>
      </c>
      <c r="F64" s="224" t="s">
        <v>10219</v>
      </c>
      <c r="G64" s="181">
        <v>1</v>
      </c>
      <c r="H64" s="181">
        <v>1</v>
      </c>
      <c r="I64" s="221" t="s">
        <v>10220</v>
      </c>
      <c r="J64" s="221" t="s">
        <v>569</v>
      </c>
      <c r="K64" s="181">
        <v>2022</v>
      </c>
      <c r="L64" s="221" t="s">
        <v>9186</v>
      </c>
      <c r="M64" s="182"/>
      <c r="N64" s="225" t="s">
        <v>10221</v>
      </c>
      <c r="O64" s="226"/>
    </row>
    <row r="65" spans="1:15" ht="26.4">
      <c r="A65" s="181">
        <v>64</v>
      </c>
      <c r="B65" s="221" t="s">
        <v>5071</v>
      </c>
      <c r="C65" s="222" t="s">
        <v>9184</v>
      </c>
      <c r="D65" s="223" t="s">
        <v>10222</v>
      </c>
      <c r="E65" s="223" t="s">
        <v>10223</v>
      </c>
      <c r="F65" s="224" t="s">
        <v>10224</v>
      </c>
      <c r="G65" s="181">
        <v>1</v>
      </c>
      <c r="H65" s="181">
        <v>1</v>
      </c>
      <c r="I65" s="221" t="s">
        <v>10225</v>
      </c>
      <c r="J65" s="221" t="s">
        <v>569</v>
      </c>
      <c r="K65" s="181">
        <v>2022</v>
      </c>
      <c r="L65" s="221" t="s">
        <v>9186</v>
      </c>
      <c r="M65" s="182"/>
      <c r="N65" s="225" t="s">
        <v>10226</v>
      </c>
      <c r="O65" s="226"/>
    </row>
    <row r="66" spans="1:15" ht="26.4">
      <c r="A66" s="181">
        <v>65</v>
      </c>
      <c r="B66" s="221" t="s">
        <v>5071</v>
      </c>
      <c r="C66" s="222" t="s">
        <v>9205</v>
      </c>
      <c r="D66" s="223" t="s">
        <v>10227</v>
      </c>
      <c r="E66" s="223" t="s">
        <v>10228</v>
      </c>
      <c r="F66" s="224" t="s">
        <v>10229</v>
      </c>
      <c r="G66" s="181">
        <v>1</v>
      </c>
      <c r="H66" s="181">
        <v>1</v>
      </c>
      <c r="I66" s="221" t="s">
        <v>10230</v>
      </c>
      <c r="J66" s="221" t="s">
        <v>568</v>
      </c>
      <c r="K66" s="181">
        <v>2022</v>
      </c>
      <c r="L66" s="221" t="s">
        <v>9186</v>
      </c>
      <c r="M66" s="182"/>
      <c r="N66" s="225" t="s">
        <v>10231</v>
      </c>
      <c r="O66" s="226"/>
    </row>
    <row r="67" spans="1:15" ht="26.4">
      <c r="A67" s="181">
        <v>66</v>
      </c>
      <c r="B67" s="221" t="s">
        <v>5071</v>
      </c>
      <c r="C67" s="222" t="s">
        <v>9228</v>
      </c>
      <c r="D67" s="223" t="s">
        <v>10232</v>
      </c>
      <c r="E67" s="223" t="s">
        <v>10233</v>
      </c>
      <c r="F67" s="224" t="s">
        <v>10234</v>
      </c>
      <c r="G67" s="181">
        <v>1</v>
      </c>
      <c r="H67" s="181">
        <v>1</v>
      </c>
      <c r="I67" s="221" t="s">
        <v>10235</v>
      </c>
      <c r="J67" s="221" t="s">
        <v>568</v>
      </c>
      <c r="K67" s="181">
        <v>2022</v>
      </c>
      <c r="L67" s="221" t="s">
        <v>9186</v>
      </c>
      <c r="M67" s="182"/>
      <c r="N67" s="225" t="s">
        <v>10236</v>
      </c>
      <c r="O67" s="226"/>
    </row>
    <row r="68" spans="1:15">
      <c r="A68" s="181">
        <v>67</v>
      </c>
      <c r="B68" s="221" t="s">
        <v>5071</v>
      </c>
      <c r="C68" s="222" t="s">
        <v>9228</v>
      </c>
      <c r="D68" s="223" t="s">
        <v>10237</v>
      </c>
      <c r="E68" s="223" t="s">
        <v>10238</v>
      </c>
      <c r="F68" s="224" t="s">
        <v>10239</v>
      </c>
      <c r="G68" s="181">
        <v>1</v>
      </c>
      <c r="H68" s="181">
        <v>1</v>
      </c>
      <c r="I68" s="221" t="s">
        <v>10240</v>
      </c>
      <c r="J68" s="221" t="s">
        <v>568</v>
      </c>
      <c r="K68" s="181">
        <v>2022</v>
      </c>
      <c r="L68" s="221" t="s">
        <v>9186</v>
      </c>
      <c r="M68" s="182"/>
      <c r="N68" s="225" t="s">
        <v>10241</v>
      </c>
      <c r="O68" s="226"/>
    </row>
    <row r="69" spans="1:15" ht="26.4">
      <c r="A69" s="181">
        <v>68</v>
      </c>
      <c r="B69" s="221" t="s">
        <v>5071</v>
      </c>
      <c r="C69" s="222" t="s">
        <v>9205</v>
      </c>
      <c r="D69" s="223" t="s">
        <v>10242</v>
      </c>
      <c r="E69" s="223" t="s">
        <v>10243</v>
      </c>
      <c r="F69" s="224" t="s">
        <v>10244</v>
      </c>
      <c r="G69" s="181">
        <v>1</v>
      </c>
      <c r="H69" s="181">
        <v>1</v>
      </c>
      <c r="I69" s="221" t="s">
        <v>10245</v>
      </c>
      <c r="J69" s="221" t="s">
        <v>568</v>
      </c>
      <c r="K69" s="181">
        <v>2022</v>
      </c>
      <c r="L69" s="221" t="s">
        <v>9186</v>
      </c>
      <c r="M69" s="182"/>
      <c r="N69" s="225" t="s">
        <v>10246</v>
      </c>
      <c r="O69" s="226"/>
    </row>
    <row r="70" spans="1:15" ht="26.4">
      <c r="A70" s="181">
        <v>69</v>
      </c>
      <c r="B70" s="221" t="s">
        <v>5071</v>
      </c>
      <c r="C70" s="222" t="s">
        <v>9205</v>
      </c>
      <c r="D70" s="223" t="s">
        <v>10247</v>
      </c>
      <c r="E70" s="223" t="s">
        <v>10248</v>
      </c>
      <c r="F70" s="224" t="s">
        <v>10249</v>
      </c>
      <c r="G70" s="181">
        <v>1</v>
      </c>
      <c r="H70" s="181">
        <v>1</v>
      </c>
      <c r="I70" s="221" t="s">
        <v>10250</v>
      </c>
      <c r="J70" s="221" t="s">
        <v>568</v>
      </c>
      <c r="K70" s="181">
        <v>2022</v>
      </c>
      <c r="L70" s="221" t="s">
        <v>9186</v>
      </c>
      <c r="M70" s="182"/>
      <c r="N70" s="225" t="s">
        <v>10251</v>
      </c>
      <c r="O70" s="226"/>
    </row>
    <row r="71" spans="1:15">
      <c r="A71" s="181">
        <v>70</v>
      </c>
      <c r="B71" s="221" t="s">
        <v>5071</v>
      </c>
      <c r="C71" s="222" t="s">
        <v>9205</v>
      </c>
      <c r="D71" s="223" t="s">
        <v>10252</v>
      </c>
      <c r="E71" s="223" t="s">
        <v>10253</v>
      </c>
      <c r="F71" s="224" t="s">
        <v>10254</v>
      </c>
      <c r="G71" s="181">
        <v>1</v>
      </c>
      <c r="H71" s="181">
        <v>1</v>
      </c>
      <c r="I71" s="221" t="s">
        <v>10255</v>
      </c>
      <c r="J71" s="221" t="s">
        <v>568</v>
      </c>
      <c r="K71" s="181">
        <v>2022</v>
      </c>
      <c r="L71" s="221" t="s">
        <v>9186</v>
      </c>
      <c r="M71" s="182"/>
      <c r="N71" s="225" t="s">
        <v>10256</v>
      </c>
      <c r="O71" s="226"/>
    </row>
    <row r="72" spans="1:15" ht="26.4">
      <c r="A72" s="181">
        <v>71</v>
      </c>
      <c r="B72" s="221" t="s">
        <v>5071</v>
      </c>
      <c r="C72" s="222" t="s">
        <v>9205</v>
      </c>
      <c r="D72" s="223" t="s">
        <v>10257</v>
      </c>
      <c r="E72" s="223" t="s">
        <v>10258</v>
      </c>
      <c r="F72" s="224" t="s">
        <v>10259</v>
      </c>
      <c r="G72" s="181">
        <v>1</v>
      </c>
      <c r="H72" s="181">
        <v>1</v>
      </c>
      <c r="I72" s="221" t="s">
        <v>10260</v>
      </c>
      <c r="J72" s="221" t="s">
        <v>568</v>
      </c>
      <c r="K72" s="181">
        <v>2022</v>
      </c>
      <c r="L72" s="221" t="s">
        <v>9186</v>
      </c>
      <c r="M72" s="182"/>
      <c r="N72" s="225" t="s">
        <v>10261</v>
      </c>
      <c r="O72" s="226"/>
    </row>
    <row r="73" spans="1:15" ht="26.4">
      <c r="A73" s="181">
        <v>72</v>
      </c>
      <c r="B73" s="221" t="s">
        <v>5071</v>
      </c>
      <c r="C73" s="222" t="s">
        <v>9243</v>
      </c>
      <c r="D73" s="223" t="s">
        <v>10262</v>
      </c>
      <c r="E73" s="223" t="s">
        <v>10263</v>
      </c>
      <c r="F73" s="224" t="s">
        <v>10264</v>
      </c>
      <c r="G73" s="181">
        <v>1</v>
      </c>
      <c r="H73" s="181">
        <v>1</v>
      </c>
      <c r="I73" s="221" t="s">
        <v>10265</v>
      </c>
      <c r="J73" s="221" t="s">
        <v>569</v>
      </c>
      <c r="K73" s="181">
        <v>2022</v>
      </c>
      <c r="L73" s="221" t="s">
        <v>9186</v>
      </c>
      <c r="M73" s="182"/>
      <c r="N73" s="225" t="s">
        <v>10266</v>
      </c>
      <c r="O73" s="226"/>
    </row>
    <row r="74" spans="1:15" ht="26.4">
      <c r="A74" s="181">
        <v>73</v>
      </c>
      <c r="B74" s="221" t="s">
        <v>5071</v>
      </c>
      <c r="C74" s="222" t="s">
        <v>9188</v>
      </c>
      <c r="D74" s="223" t="s">
        <v>10267</v>
      </c>
      <c r="E74" s="223" t="s">
        <v>10268</v>
      </c>
      <c r="F74" s="224" t="s">
        <v>10269</v>
      </c>
      <c r="G74" s="181">
        <v>1</v>
      </c>
      <c r="H74" s="181">
        <v>1</v>
      </c>
      <c r="I74" s="221" t="s">
        <v>10270</v>
      </c>
      <c r="J74" s="221" t="s">
        <v>568</v>
      </c>
      <c r="K74" s="181">
        <v>2022</v>
      </c>
      <c r="L74" s="221" t="s">
        <v>9186</v>
      </c>
      <c r="M74" s="182"/>
      <c r="N74" s="225" t="s">
        <v>10271</v>
      </c>
      <c r="O74" s="226"/>
    </row>
    <row r="75" spans="1:15" ht="26.4">
      <c r="A75" s="181">
        <v>74</v>
      </c>
      <c r="B75" s="221" t="s">
        <v>5071</v>
      </c>
      <c r="C75" s="222" t="s">
        <v>9285</v>
      </c>
      <c r="D75" s="223" t="s">
        <v>10272</v>
      </c>
      <c r="E75" s="223" t="s">
        <v>10273</v>
      </c>
      <c r="F75" s="224" t="s">
        <v>10274</v>
      </c>
      <c r="G75" s="181">
        <v>1</v>
      </c>
      <c r="H75" s="181">
        <v>1</v>
      </c>
      <c r="I75" s="221" t="s">
        <v>3446</v>
      </c>
      <c r="J75" s="221" t="s">
        <v>569</v>
      </c>
      <c r="K75" s="181">
        <v>2022</v>
      </c>
      <c r="L75" s="221" t="s">
        <v>9186</v>
      </c>
      <c r="M75" s="182"/>
      <c r="N75" s="225" t="s">
        <v>10275</v>
      </c>
      <c r="O75" s="226"/>
    </row>
    <row r="76" spans="1:15" ht="26.4">
      <c r="A76" s="181">
        <v>75</v>
      </c>
      <c r="B76" s="221" t="s">
        <v>5071</v>
      </c>
      <c r="C76" s="222" t="s">
        <v>9205</v>
      </c>
      <c r="D76" s="223" t="s">
        <v>10276</v>
      </c>
      <c r="E76" s="223" t="s">
        <v>10277</v>
      </c>
      <c r="F76" s="224" t="s">
        <v>10278</v>
      </c>
      <c r="G76" s="181">
        <v>1</v>
      </c>
      <c r="H76" s="181">
        <v>1</v>
      </c>
      <c r="I76" s="221" t="s">
        <v>10279</v>
      </c>
      <c r="J76" s="221" t="s">
        <v>568</v>
      </c>
      <c r="K76" s="181">
        <v>2022</v>
      </c>
      <c r="L76" s="221" t="s">
        <v>9186</v>
      </c>
      <c r="M76" s="182"/>
      <c r="N76" s="225" t="s">
        <v>10280</v>
      </c>
      <c r="O76" s="226"/>
    </row>
    <row r="77" spans="1:15" ht="26.4">
      <c r="A77" s="181">
        <v>76</v>
      </c>
      <c r="B77" s="221" t="s">
        <v>5071</v>
      </c>
      <c r="C77" s="222" t="s">
        <v>9228</v>
      </c>
      <c r="D77" s="223" t="s">
        <v>10281</v>
      </c>
      <c r="E77" s="223" t="s">
        <v>10282</v>
      </c>
      <c r="F77" s="224" t="s">
        <v>10283</v>
      </c>
      <c r="G77" s="181">
        <v>1</v>
      </c>
      <c r="H77" s="181">
        <v>1</v>
      </c>
      <c r="I77" s="221" t="s">
        <v>10284</v>
      </c>
      <c r="J77" s="221" t="s">
        <v>568</v>
      </c>
      <c r="K77" s="181">
        <v>2022</v>
      </c>
      <c r="L77" s="221" t="s">
        <v>9186</v>
      </c>
      <c r="M77" s="182"/>
      <c r="N77" s="225" t="s">
        <v>10285</v>
      </c>
      <c r="O77" s="226"/>
    </row>
    <row r="78" spans="1:15" ht="26.4">
      <c r="A78" s="181">
        <v>77</v>
      </c>
      <c r="B78" s="221" t="s">
        <v>5071</v>
      </c>
      <c r="C78" s="222" t="s">
        <v>9205</v>
      </c>
      <c r="D78" s="223" t="s">
        <v>10286</v>
      </c>
      <c r="E78" s="223" t="s">
        <v>10287</v>
      </c>
      <c r="F78" s="224" t="s">
        <v>10288</v>
      </c>
      <c r="G78" s="181">
        <v>1</v>
      </c>
      <c r="H78" s="181">
        <v>1</v>
      </c>
      <c r="I78" s="221" t="s">
        <v>7927</v>
      </c>
      <c r="J78" s="221" t="s">
        <v>568</v>
      </c>
      <c r="K78" s="181">
        <v>2022</v>
      </c>
      <c r="L78" s="221" t="s">
        <v>9186</v>
      </c>
      <c r="M78" s="182"/>
      <c r="N78" s="225" t="s">
        <v>10289</v>
      </c>
      <c r="O78" s="226"/>
    </row>
    <row r="79" spans="1:15">
      <c r="A79" s="181">
        <v>78</v>
      </c>
      <c r="B79" s="221" t="s">
        <v>5413</v>
      </c>
      <c r="C79" s="222" t="s">
        <v>9515</v>
      </c>
      <c r="D79" s="223" t="s">
        <v>10290</v>
      </c>
      <c r="E79" s="223" t="s">
        <v>10291</v>
      </c>
      <c r="F79" s="224" t="s">
        <v>10292</v>
      </c>
      <c r="G79" s="181">
        <v>1</v>
      </c>
      <c r="H79" s="181">
        <v>1</v>
      </c>
      <c r="I79" s="221" t="s">
        <v>10293</v>
      </c>
      <c r="J79" s="221" t="s">
        <v>561</v>
      </c>
      <c r="K79" s="181">
        <v>2018</v>
      </c>
      <c r="L79" s="221" t="s">
        <v>9186</v>
      </c>
      <c r="M79" s="182"/>
      <c r="N79" s="225" t="s">
        <v>10294</v>
      </c>
      <c r="O79" s="226"/>
    </row>
    <row r="80" spans="1:15">
      <c r="A80" s="181">
        <v>79</v>
      </c>
      <c r="B80" s="221" t="s">
        <v>5413</v>
      </c>
      <c r="C80" s="222" t="s">
        <v>9591</v>
      </c>
      <c r="D80" s="223" t="s">
        <v>10295</v>
      </c>
      <c r="E80" s="223" t="s">
        <v>10296</v>
      </c>
      <c r="F80" s="224" t="s">
        <v>10297</v>
      </c>
      <c r="G80" s="181">
        <v>1</v>
      </c>
      <c r="H80" s="181">
        <v>1</v>
      </c>
      <c r="I80" s="221" t="s">
        <v>10298</v>
      </c>
      <c r="J80" s="221" t="s">
        <v>561</v>
      </c>
      <c r="K80" s="181">
        <v>2018</v>
      </c>
      <c r="L80" s="221" t="s">
        <v>9186</v>
      </c>
      <c r="M80" s="182"/>
      <c r="N80" s="225" t="s">
        <v>10299</v>
      </c>
      <c r="O80" s="226"/>
    </row>
    <row r="81" spans="1:15" ht="26.4">
      <c r="A81" s="181">
        <v>80</v>
      </c>
      <c r="B81" s="221" t="s">
        <v>5413</v>
      </c>
      <c r="C81" s="222" t="s">
        <v>9591</v>
      </c>
      <c r="D81" s="223" t="s">
        <v>10300</v>
      </c>
      <c r="E81" s="223" t="s">
        <v>10301</v>
      </c>
      <c r="F81" s="224" t="s">
        <v>10302</v>
      </c>
      <c r="G81" s="181">
        <v>1</v>
      </c>
      <c r="H81" s="181">
        <v>1</v>
      </c>
      <c r="I81" s="221" t="s">
        <v>10303</v>
      </c>
      <c r="J81" s="221" t="s">
        <v>561</v>
      </c>
      <c r="K81" s="181">
        <v>2018</v>
      </c>
      <c r="L81" s="221" t="s">
        <v>9186</v>
      </c>
      <c r="M81" s="182"/>
      <c r="N81" s="225" t="s">
        <v>10304</v>
      </c>
      <c r="O81" s="226"/>
    </row>
    <row r="82" spans="1:15">
      <c r="A82" s="181">
        <v>81</v>
      </c>
      <c r="B82" s="221" t="s">
        <v>5413</v>
      </c>
      <c r="C82" s="222" t="s">
        <v>9515</v>
      </c>
      <c r="D82" s="223" t="s">
        <v>10305</v>
      </c>
      <c r="E82" s="223" t="s">
        <v>10306</v>
      </c>
      <c r="F82" s="224" t="s">
        <v>10307</v>
      </c>
      <c r="G82" s="181">
        <v>1</v>
      </c>
      <c r="H82" s="181">
        <v>1</v>
      </c>
      <c r="I82" s="221" t="s">
        <v>10308</v>
      </c>
      <c r="J82" s="221" t="s">
        <v>561</v>
      </c>
      <c r="K82" s="181">
        <v>2018</v>
      </c>
      <c r="L82" s="221" t="s">
        <v>9186</v>
      </c>
      <c r="M82" s="182"/>
      <c r="N82" s="225" t="s">
        <v>10309</v>
      </c>
      <c r="O82" s="226"/>
    </row>
    <row r="83" spans="1:15">
      <c r="A83" s="181">
        <v>82</v>
      </c>
      <c r="B83" s="221" t="s">
        <v>5413</v>
      </c>
      <c r="C83" s="222" t="s">
        <v>9591</v>
      </c>
      <c r="D83" s="223" t="s">
        <v>10310</v>
      </c>
      <c r="E83" s="223" t="s">
        <v>10311</v>
      </c>
      <c r="F83" s="224" t="s">
        <v>10312</v>
      </c>
      <c r="G83" s="181">
        <v>1</v>
      </c>
      <c r="H83" s="181">
        <v>1</v>
      </c>
      <c r="I83" s="221" t="s">
        <v>10313</v>
      </c>
      <c r="J83" s="221" t="s">
        <v>561</v>
      </c>
      <c r="K83" s="181">
        <v>2018</v>
      </c>
      <c r="L83" s="221" t="s">
        <v>9186</v>
      </c>
      <c r="M83" s="182"/>
      <c r="N83" s="225" t="s">
        <v>10314</v>
      </c>
      <c r="O83" s="226"/>
    </row>
    <row r="84" spans="1:15">
      <c r="A84" s="181">
        <v>83</v>
      </c>
      <c r="B84" s="221" t="s">
        <v>5413</v>
      </c>
      <c r="C84" s="222" t="s">
        <v>9515</v>
      </c>
      <c r="D84" s="223" t="s">
        <v>10315</v>
      </c>
      <c r="E84" s="223" t="s">
        <v>10316</v>
      </c>
      <c r="F84" s="224" t="s">
        <v>10317</v>
      </c>
      <c r="G84" s="181">
        <v>1</v>
      </c>
      <c r="H84" s="181">
        <v>1</v>
      </c>
      <c r="I84" s="221" t="s">
        <v>9524</v>
      </c>
      <c r="J84" s="221" t="s">
        <v>561</v>
      </c>
      <c r="K84" s="181">
        <v>2019</v>
      </c>
      <c r="L84" s="221" t="s">
        <v>9186</v>
      </c>
      <c r="M84" s="182"/>
      <c r="N84" s="225" t="s">
        <v>10318</v>
      </c>
      <c r="O84" s="226"/>
    </row>
    <row r="85" spans="1:15">
      <c r="A85" s="181">
        <v>84</v>
      </c>
      <c r="B85" s="221" t="s">
        <v>5413</v>
      </c>
      <c r="C85" s="222" t="s">
        <v>9515</v>
      </c>
      <c r="D85" s="223" t="s">
        <v>10319</v>
      </c>
      <c r="E85" s="223" t="s">
        <v>10320</v>
      </c>
      <c r="F85" s="224" t="s">
        <v>10321</v>
      </c>
      <c r="G85" s="181">
        <v>1</v>
      </c>
      <c r="H85" s="181">
        <v>1</v>
      </c>
      <c r="I85" s="221" t="s">
        <v>10322</v>
      </c>
      <c r="J85" s="221" t="s">
        <v>561</v>
      </c>
      <c r="K85" s="181">
        <v>2019</v>
      </c>
      <c r="L85" s="221" t="s">
        <v>9186</v>
      </c>
      <c r="M85" s="182"/>
      <c r="N85" s="225" t="s">
        <v>10323</v>
      </c>
      <c r="O85" s="226"/>
    </row>
    <row r="86" spans="1:15" ht="26.4">
      <c r="A86" s="181">
        <v>85</v>
      </c>
      <c r="B86" s="221" t="s">
        <v>5413</v>
      </c>
      <c r="C86" s="222" t="s">
        <v>9591</v>
      </c>
      <c r="D86" s="223" t="s">
        <v>10324</v>
      </c>
      <c r="E86" s="223" t="s">
        <v>10325</v>
      </c>
      <c r="F86" s="224" t="s">
        <v>10326</v>
      </c>
      <c r="G86" s="181">
        <v>1</v>
      </c>
      <c r="H86" s="181">
        <v>1</v>
      </c>
      <c r="I86" s="221" t="s">
        <v>3446</v>
      </c>
      <c r="J86" s="221" t="s">
        <v>561</v>
      </c>
      <c r="K86" s="181">
        <v>2019</v>
      </c>
      <c r="L86" s="221" t="s">
        <v>9186</v>
      </c>
      <c r="M86" s="182"/>
      <c r="N86" s="225" t="s">
        <v>10327</v>
      </c>
      <c r="O86" s="226"/>
    </row>
    <row r="87" spans="1:15" ht="26.4">
      <c r="A87" s="181">
        <v>86</v>
      </c>
      <c r="B87" s="221" t="s">
        <v>5413</v>
      </c>
      <c r="C87" s="222" t="s">
        <v>9591</v>
      </c>
      <c r="D87" s="223" t="s">
        <v>10328</v>
      </c>
      <c r="E87" s="223" t="s">
        <v>10329</v>
      </c>
      <c r="F87" s="224" t="s">
        <v>10330</v>
      </c>
      <c r="G87" s="181">
        <v>1</v>
      </c>
      <c r="H87" s="181">
        <v>1</v>
      </c>
      <c r="I87" s="221" t="s">
        <v>8934</v>
      </c>
      <c r="J87" s="221" t="s">
        <v>561</v>
      </c>
      <c r="K87" s="181">
        <v>2019</v>
      </c>
      <c r="L87" s="221" t="s">
        <v>9186</v>
      </c>
      <c r="M87" s="182"/>
      <c r="N87" s="225" t="s">
        <v>10331</v>
      </c>
      <c r="O87" s="226"/>
    </row>
    <row r="88" spans="1:15" ht="26.4">
      <c r="A88" s="181">
        <v>87</v>
      </c>
      <c r="B88" s="221" t="s">
        <v>5413</v>
      </c>
      <c r="C88" s="222" t="s">
        <v>9591</v>
      </c>
      <c r="D88" s="223" t="s">
        <v>10332</v>
      </c>
      <c r="E88" s="223" t="s">
        <v>10333</v>
      </c>
      <c r="F88" s="224" t="s">
        <v>10334</v>
      </c>
      <c r="G88" s="181">
        <v>1</v>
      </c>
      <c r="H88" s="181">
        <v>1</v>
      </c>
      <c r="I88" s="221" t="s">
        <v>10335</v>
      </c>
      <c r="J88" s="221" t="s">
        <v>561</v>
      </c>
      <c r="K88" s="181">
        <v>2019</v>
      </c>
      <c r="L88" s="221" t="s">
        <v>9186</v>
      </c>
      <c r="M88" s="182"/>
      <c r="N88" s="225" t="s">
        <v>10336</v>
      </c>
      <c r="O88" s="226"/>
    </row>
    <row r="89" spans="1:15">
      <c r="A89" s="181">
        <v>88</v>
      </c>
      <c r="B89" s="221" t="s">
        <v>5413</v>
      </c>
      <c r="C89" s="222" t="s">
        <v>9591</v>
      </c>
      <c r="D89" s="223" t="s">
        <v>10337</v>
      </c>
      <c r="E89" s="223" t="s">
        <v>10338</v>
      </c>
      <c r="F89" s="224" t="s">
        <v>10339</v>
      </c>
      <c r="G89" s="181">
        <v>1</v>
      </c>
      <c r="H89" s="181">
        <v>1</v>
      </c>
      <c r="I89" s="221" t="s">
        <v>9032</v>
      </c>
      <c r="J89" s="221" t="s">
        <v>561</v>
      </c>
      <c r="K89" s="181">
        <v>2019</v>
      </c>
      <c r="L89" s="221" t="s">
        <v>9186</v>
      </c>
      <c r="M89" s="182"/>
      <c r="N89" s="225" t="s">
        <v>10340</v>
      </c>
      <c r="O89" s="226"/>
    </row>
    <row r="90" spans="1:15" ht="26.4">
      <c r="A90" s="181">
        <v>89</v>
      </c>
      <c r="B90" s="221" t="s">
        <v>5413</v>
      </c>
      <c r="C90" s="222" t="s">
        <v>9591</v>
      </c>
      <c r="D90" s="223" t="s">
        <v>10341</v>
      </c>
      <c r="E90" s="223" t="s">
        <v>10342</v>
      </c>
      <c r="F90" s="224" t="s">
        <v>10343</v>
      </c>
      <c r="G90" s="181">
        <v>1</v>
      </c>
      <c r="H90" s="181">
        <v>1</v>
      </c>
      <c r="I90" s="221" t="s">
        <v>10344</v>
      </c>
      <c r="J90" s="221" t="s">
        <v>561</v>
      </c>
      <c r="K90" s="181">
        <v>2019</v>
      </c>
      <c r="L90" s="221" t="s">
        <v>9186</v>
      </c>
      <c r="M90" s="182"/>
      <c r="N90" s="225" t="s">
        <v>10345</v>
      </c>
      <c r="O90" s="226"/>
    </row>
    <row r="91" spans="1:15" ht="26.4">
      <c r="A91" s="181">
        <v>90</v>
      </c>
      <c r="B91" s="221" t="s">
        <v>5413</v>
      </c>
      <c r="C91" s="222" t="s">
        <v>9515</v>
      </c>
      <c r="D91" s="223" t="s">
        <v>10346</v>
      </c>
      <c r="E91" s="223" t="s">
        <v>10347</v>
      </c>
      <c r="F91" s="224" t="s">
        <v>10348</v>
      </c>
      <c r="G91" s="181">
        <v>1</v>
      </c>
      <c r="H91" s="181">
        <v>1</v>
      </c>
      <c r="I91" s="221" t="s">
        <v>2596</v>
      </c>
      <c r="J91" s="221" t="s">
        <v>561</v>
      </c>
      <c r="K91" s="181">
        <v>2019</v>
      </c>
      <c r="L91" s="221" t="s">
        <v>9186</v>
      </c>
      <c r="M91" s="182"/>
      <c r="N91" s="225" t="s">
        <v>10349</v>
      </c>
      <c r="O91" s="226"/>
    </row>
    <row r="92" spans="1:15">
      <c r="A92" s="181">
        <v>91</v>
      </c>
      <c r="B92" s="221" t="s">
        <v>5413</v>
      </c>
      <c r="C92" s="222" t="s">
        <v>9515</v>
      </c>
      <c r="D92" s="223" t="s">
        <v>10350</v>
      </c>
      <c r="E92" s="223" t="s">
        <v>10351</v>
      </c>
      <c r="F92" s="224" t="s">
        <v>10352</v>
      </c>
      <c r="G92" s="181">
        <v>1</v>
      </c>
      <c r="H92" s="181">
        <v>1</v>
      </c>
      <c r="I92" s="221" t="s">
        <v>6654</v>
      </c>
      <c r="J92" s="221" t="s">
        <v>561</v>
      </c>
      <c r="K92" s="181">
        <v>2019</v>
      </c>
      <c r="L92" s="221" t="s">
        <v>9186</v>
      </c>
      <c r="M92" s="182"/>
      <c r="N92" s="225" t="s">
        <v>10353</v>
      </c>
      <c r="O92" s="226"/>
    </row>
    <row r="93" spans="1:15" ht="26.4">
      <c r="A93" s="181">
        <v>92</v>
      </c>
      <c r="B93" s="221" t="s">
        <v>5413</v>
      </c>
      <c r="C93" s="222" t="s">
        <v>9515</v>
      </c>
      <c r="D93" s="223" t="s">
        <v>10354</v>
      </c>
      <c r="E93" s="223" t="s">
        <v>10355</v>
      </c>
      <c r="F93" s="224" t="s">
        <v>10356</v>
      </c>
      <c r="G93" s="181">
        <v>1</v>
      </c>
      <c r="H93" s="181">
        <v>1</v>
      </c>
      <c r="I93" s="221" t="s">
        <v>3446</v>
      </c>
      <c r="J93" s="221" t="s">
        <v>561</v>
      </c>
      <c r="K93" s="181">
        <v>2020</v>
      </c>
      <c r="L93" s="221" t="s">
        <v>9186</v>
      </c>
      <c r="M93" s="182"/>
      <c r="N93" s="225" t="s">
        <v>10357</v>
      </c>
      <c r="O93" s="226"/>
    </row>
    <row r="94" spans="1:15" ht="26.4">
      <c r="A94" s="181">
        <v>93</v>
      </c>
      <c r="B94" s="221" t="s">
        <v>5413</v>
      </c>
      <c r="C94" s="222" t="s">
        <v>10358</v>
      </c>
      <c r="D94" s="223" t="s">
        <v>10359</v>
      </c>
      <c r="E94" s="223" t="s">
        <v>10360</v>
      </c>
      <c r="F94" s="224" t="s">
        <v>10361</v>
      </c>
      <c r="G94" s="181">
        <v>1</v>
      </c>
      <c r="H94" s="181">
        <v>1</v>
      </c>
      <c r="I94" s="221" t="s">
        <v>10362</v>
      </c>
      <c r="J94" s="221" t="s">
        <v>1233</v>
      </c>
      <c r="K94" s="181">
        <v>2020</v>
      </c>
      <c r="L94" s="221" t="s">
        <v>9186</v>
      </c>
      <c r="M94" s="182"/>
      <c r="N94" s="225" t="s">
        <v>10363</v>
      </c>
      <c r="O94" s="226"/>
    </row>
    <row r="95" spans="1:15">
      <c r="A95" s="181">
        <v>94</v>
      </c>
      <c r="B95" s="221" t="s">
        <v>5413</v>
      </c>
      <c r="C95" s="222" t="s">
        <v>9591</v>
      </c>
      <c r="D95" s="223" t="s">
        <v>10364</v>
      </c>
      <c r="E95" s="223" t="s">
        <v>10365</v>
      </c>
      <c r="F95" s="224" t="s">
        <v>10366</v>
      </c>
      <c r="G95" s="181">
        <v>1</v>
      </c>
      <c r="H95" s="181">
        <v>1</v>
      </c>
      <c r="I95" s="221" t="s">
        <v>10367</v>
      </c>
      <c r="J95" s="221" t="s">
        <v>561</v>
      </c>
      <c r="K95" s="181">
        <v>2020</v>
      </c>
      <c r="L95" s="221" t="s">
        <v>9186</v>
      </c>
      <c r="M95" s="182"/>
      <c r="N95" s="225" t="s">
        <v>10368</v>
      </c>
      <c r="O95" s="226"/>
    </row>
    <row r="96" spans="1:15">
      <c r="A96" s="181">
        <v>95</v>
      </c>
      <c r="B96" s="221" t="s">
        <v>5413</v>
      </c>
      <c r="C96" s="222" t="s">
        <v>10369</v>
      </c>
      <c r="D96" s="223" t="s">
        <v>10370</v>
      </c>
      <c r="E96" s="223" t="s">
        <v>10371</v>
      </c>
      <c r="F96" s="224" t="s">
        <v>10372</v>
      </c>
      <c r="G96" s="181">
        <v>1</v>
      </c>
      <c r="H96" s="181">
        <v>1</v>
      </c>
      <c r="I96" s="221" t="s">
        <v>10373</v>
      </c>
      <c r="J96" s="221" t="s">
        <v>561</v>
      </c>
      <c r="K96" s="181">
        <v>2021</v>
      </c>
      <c r="L96" s="221" t="s">
        <v>9186</v>
      </c>
      <c r="M96" s="182"/>
      <c r="N96" s="225" t="s">
        <v>10374</v>
      </c>
      <c r="O96" s="226"/>
    </row>
    <row r="97" spans="1:15" ht="26.4">
      <c r="A97" s="181">
        <v>96</v>
      </c>
      <c r="B97" s="221" t="s">
        <v>5413</v>
      </c>
      <c r="C97" s="222" t="s">
        <v>9519</v>
      </c>
      <c r="D97" s="223" t="s">
        <v>10375</v>
      </c>
      <c r="E97" s="223" t="s">
        <v>10376</v>
      </c>
      <c r="F97" s="224" t="s">
        <v>10377</v>
      </c>
      <c r="G97" s="181">
        <v>1</v>
      </c>
      <c r="H97" s="181">
        <v>1</v>
      </c>
      <c r="I97" s="221" t="s">
        <v>3446</v>
      </c>
      <c r="J97" s="221" t="s">
        <v>1233</v>
      </c>
      <c r="K97" s="181">
        <v>2021</v>
      </c>
      <c r="L97" s="221" t="s">
        <v>9186</v>
      </c>
      <c r="M97" s="182"/>
      <c r="N97" s="225" t="s">
        <v>10378</v>
      </c>
      <c r="O97" s="226"/>
    </row>
    <row r="98" spans="1:15" ht="26.4">
      <c r="A98" s="181">
        <v>97</v>
      </c>
      <c r="B98" s="221" t="s">
        <v>5413</v>
      </c>
      <c r="C98" s="222" t="s">
        <v>10379</v>
      </c>
      <c r="D98" s="223" t="s">
        <v>10380</v>
      </c>
      <c r="E98" s="223" t="s">
        <v>10381</v>
      </c>
      <c r="F98" s="224" t="s">
        <v>10382</v>
      </c>
      <c r="G98" s="181">
        <v>1</v>
      </c>
      <c r="H98" s="181">
        <v>1</v>
      </c>
      <c r="I98" s="221" t="s">
        <v>10383</v>
      </c>
      <c r="J98" s="221" t="s">
        <v>561</v>
      </c>
      <c r="K98" s="181">
        <v>2021</v>
      </c>
      <c r="L98" s="221" t="s">
        <v>9186</v>
      </c>
      <c r="M98" s="182"/>
      <c r="N98" s="225" t="s">
        <v>10384</v>
      </c>
      <c r="O98" s="226"/>
    </row>
    <row r="99" spans="1:15" ht="26.4">
      <c r="A99" s="181">
        <v>98</v>
      </c>
      <c r="B99" s="221" t="s">
        <v>5413</v>
      </c>
      <c r="C99" s="222" t="s">
        <v>10385</v>
      </c>
      <c r="D99" s="223" t="s">
        <v>10386</v>
      </c>
      <c r="E99" s="223" t="s">
        <v>10387</v>
      </c>
      <c r="F99" s="224" t="s">
        <v>10388</v>
      </c>
      <c r="G99" s="181">
        <v>1</v>
      </c>
      <c r="H99" s="181">
        <v>1</v>
      </c>
      <c r="I99" s="221" t="s">
        <v>10389</v>
      </c>
      <c r="J99" s="221" t="s">
        <v>1233</v>
      </c>
      <c r="K99" s="181">
        <v>2021</v>
      </c>
      <c r="L99" s="221" t="s">
        <v>9186</v>
      </c>
      <c r="M99" s="182"/>
      <c r="N99" s="225" t="s">
        <v>10390</v>
      </c>
      <c r="O99" s="226"/>
    </row>
    <row r="100" spans="1:15" ht="26.4">
      <c r="A100" s="181">
        <v>99</v>
      </c>
      <c r="B100" s="221" t="s">
        <v>5413</v>
      </c>
      <c r="C100" s="222" t="s">
        <v>9515</v>
      </c>
      <c r="D100" s="223" t="s">
        <v>10391</v>
      </c>
      <c r="E100" s="223" t="s">
        <v>10392</v>
      </c>
      <c r="F100" s="224" t="s">
        <v>10393</v>
      </c>
      <c r="G100" s="181">
        <v>1</v>
      </c>
      <c r="H100" s="181">
        <v>1</v>
      </c>
      <c r="I100" s="221" t="s">
        <v>10394</v>
      </c>
      <c r="J100" s="221" t="s">
        <v>561</v>
      </c>
      <c r="K100" s="181">
        <v>2021</v>
      </c>
      <c r="L100" s="221" t="s">
        <v>9186</v>
      </c>
      <c r="M100" s="182"/>
      <c r="N100" s="225" t="s">
        <v>10395</v>
      </c>
      <c r="O100" s="226"/>
    </row>
    <row r="101" spans="1:15" ht="26.4">
      <c r="A101" s="181">
        <v>100</v>
      </c>
      <c r="B101" s="221" t="s">
        <v>5413</v>
      </c>
      <c r="C101" s="222" t="s">
        <v>10396</v>
      </c>
      <c r="D101" s="223" t="s">
        <v>10397</v>
      </c>
      <c r="E101" s="223" t="s">
        <v>10398</v>
      </c>
      <c r="F101" s="224" t="s">
        <v>10399</v>
      </c>
      <c r="G101" s="181">
        <v>1</v>
      </c>
      <c r="H101" s="181">
        <v>1</v>
      </c>
      <c r="I101" s="221" t="s">
        <v>3446</v>
      </c>
      <c r="J101" s="221" t="s">
        <v>561</v>
      </c>
      <c r="K101" s="181">
        <v>2021</v>
      </c>
      <c r="L101" s="221" t="s">
        <v>9186</v>
      </c>
      <c r="M101" s="182"/>
      <c r="N101" s="225" t="s">
        <v>10400</v>
      </c>
      <c r="O101" s="226"/>
    </row>
    <row r="102" spans="1:15" ht="26.4">
      <c r="A102" s="181">
        <v>101</v>
      </c>
      <c r="B102" s="221" t="s">
        <v>5413</v>
      </c>
      <c r="C102" s="222" t="s">
        <v>9560</v>
      </c>
      <c r="D102" s="223" t="s">
        <v>10401</v>
      </c>
      <c r="E102" s="223" t="s">
        <v>10402</v>
      </c>
      <c r="F102" s="224" t="s">
        <v>10403</v>
      </c>
      <c r="G102" s="181">
        <v>1</v>
      </c>
      <c r="H102" s="181">
        <v>1</v>
      </c>
      <c r="I102" s="221" t="s">
        <v>10404</v>
      </c>
      <c r="J102" s="221" t="s">
        <v>561</v>
      </c>
      <c r="K102" s="181">
        <v>2022</v>
      </c>
      <c r="L102" s="221" t="s">
        <v>9186</v>
      </c>
      <c r="M102" s="182"/>
      <c r="N102" s="225" t="s">
        <v>10405</v>
      </c>
      <c r="O102" s="226"/>
    </row>
    <row r="103" spans="1:15" ht="26.4">
      <c r="A103" s="181">
        <v>102</v>
      </c>
      <c r="B103" s="221" t="s">
        <v>5413</v>
      </c>
      <c r="C103" s="222" t="s">
        <v>9515</v>
      </c>
      <c r="D103" s="223" t="s">
        <v>10406</v>
      </c>
      <c r="E103" s="223" t="s">
        <v>10407</v>
      </c>
      <c r="F103" s="224" t="s">
        <v>10408</v>
      </c>
      <c r="G103" s="181">
        <v>1</v>
      </c>
      <c r="H103" s="181">
        <v>1</v>
      </c>
      <c r="I103" s="221" t="s">
        <v>10409</v>
      </c>
      <c r="J103" s="221" t="s">
        <v>561</v>
      </c>
      <c r="K103" s="181">
        <v>2022</v>
      </c>
      <c r="L103" s="221" t="s">
        <v>9186</v>
      </c>
      <c r="M103" s="182"/>
      <c r="N103" s="225" t="s">
        <v>10410</v>
      </c>
      <c r="O103" s="226"/>
    </row>
    <row r="104" spans="1:15" ht="26.4">
      <c r="A104" s="181">
        <v>103</v>
      </c>
      <c r="B104" s="221" t="s">
        <v>5413</v>
      </c>
      <c r="C104" s="222" t="s">
        <v>9515</v>
      </c>
      <c r="D104" s="223" t="s">
        <v>10411</v>
      </c>
      <c r="E104" s="223" t="s">
        <v>10412</v>
      </c>
      <c r="F104" s="224" t="s">
        <v>10413</v>
      </c>
      <c r="G104" s="181">
        <v>1</v>
      </c>
      <c r="H104" s="181">
        <v>1</v>
      </c>
      <c r="I104" s="221" t="s">
        <v>10414</v>
      </c>
      <c r="J104" s="221" t="s">
        <v>561</v>
      </c>
      <c r="K104" s="181">
        <v>2022</v>
      </c>
      <c r="L104" s="221" t="s">
        <v>9186</v>
      </c>
      <c r="M104" s="182"/>
      <c r="N104" s="225" t="s">
        <v>10415</v>
      </c>
      <c r="O104" s="226"/>
    </row>
    <row r="105" spans="1:15">
      <c r="A105" s="181">
        <v>104</v>
      </c>
      <c r="B105" s="221" t="s">
        <v>5413</v>
      </c>
      <c r="C105" s="222" t="s">
        <v>9519</v>
      </c>
      <c r="D105" s="223" t="s">
        <v>10416</v>
      </c>
      <c r="E105" s="223" t="s">
        <v>10417</v>
      </c>
      <c r="F105" s="224" t="s">
        <v>10418</v>
      </c>
      <c r="G105" s="181">
        <v>1</v>
      </c>
      <c r="H105" s="181">
        <v>1</v>
      </c>
      <c r="I105" s="221" t="s">
        <v>10419</v>
      </c>
      <c r="J105" s="221" t="s">
        <v>568</v>
      </c>
      <c r="K105" s="181">
        <v>2022</v>
      </c>
      <c r="L105" s="221" t="s">
        <v>9186</v>
      </c>
      <c r="M105" s="182"/>
      <c r="N105" s="225" t="s">
        <v>10420</v>
      </c>
      <c r="O105" s="226"/>
    </row>
    <row r="106" spans="1:15">
      <c r="A106" s="181">
        <v>105</v>
      </c>
      <c r="B106" s="221" t="s">
        <v>5413</v>
      </c>
      <c r="C106" s="222" t="s">
        <v>9515</v>
      </c>
      <c r="D106" s="223" t="s">
        <v>10421</v>
      </c>
      <c r="E106" s="223" t="s">
        <v>10422</v>
      </c>
      <c r="F106" s="224" t="s">
        <v>10423</v>
      </c>
      <c r="G106" s="181">
        <v>1</v>
      </c>
      <c r="H106" s="181">
        <v>1</v>
      </c>
      <c r="I106" s="221" t="s">
        <v>10424</v>
      </c>
      <c r="J106" s="221" t="s">
        <v>561</v>
      </c>
      <c r="K106" s="181">
        <v>2022</v>
      </c>
      <c r="L106" s="221" t="s">
        <v>9186</v>
      </c>
      <c r="M106" s="182"/>
      <c r="N106" s="225" t="s">
        <v>10425</v>
      </c>
      <c r="O106" s="226"/>
    </row>
    <row r="107" spans="1:15" ht="26.4">
      <c r="A107" s="181">
        <v>106</v>
      </c>
      <c r="B107" s="221" t="s">
        <v>5413</v>
      </c>
      <c r="C107" s="222" t="s">
        <v>10426</v>
      </c>
      <c r="D107" s="223" t="s">
        <v>10427</v>
      </c>
      <c r="E107" s="223" t="s">
        <v>10428</v>
      </c>
      <c r="F107" s="224" t="s">
        <v>10429</v>
      </c>
      <c r="G107" s="181">
        <v>1</v>
      </c>
      <c r="H107" s="181">
        <v>1</v>
      </c>
      <c r="I107" s="221" t="s">
        <v>10430</v>
      </c>
      <c r="J107" s="221" t="s">
        <v>561</v>
      </c>
      <c r="K107" s="181">
        <v>2022</v>
      </c>
      <c r="L107" s="221" t="s">
        <v>9186</v>
      </c>
      <c r="M107" s="182"/>
      <c r="N107" s="225" t="s">
        <v>10431</v>
      </c>
      <c r="O107" s="226"/>
    </row>
    <row r="108" spans="1:15">
      <c r="A108" s="181">
        <v>107</v>
      </c>
      <c r="B108" s="221" t="s">
        <v>5413</v>
      </c>
      <c r="C108" s="222" t="s">
        <v>9560</v>
      </c>
      <c r="D108" s="223" t="s">
        <v>10432</v>
      </c>
      <c r="E108" s="223" t="s">
        <v>10433</v>
      </c>
      <c r="F108" s="224" t="s">
        <v>10434</v>
      </c>
      <c r="G108" s="181">
        <v>1</v>
      </c>
      <c r="H108" s="181">
        <v>1</v>
      </c>
      <c r="I108" s="221" t="s">
        <v>1792</v>
      </c>
      <c r="J108" s="221" t="s">
        <v>561</v>
      </c>
      <c r="K108" s="181">
        <v>2022</v>
      </c>
      <c r="L108" s="221" t="s">
        <v>9186</v>
      </c>
      <c r="M108" s="182"/>
      <c r="N108" s="225" t="s">
        <v>10435</v>
      </c>
      <c r="O108" s="226"/>
    </row>
    <row r="109" spans="1:15">
      <c r="A109" s="181">
        <v>108</v>
      </c>
      <c r="B109" s="221" t="s">
        <v>5413</v>
      </c>
      <c r="C109" s="222" t="s">
        <v>10358</v>
      </c>
      <c r="D109" s="223" t="s">
        <v>10436</v>
      </c>
      <c r="E109" s="223" t="s">
        <v>10437</v>
      </c>
      <c r="F109" s="224" t="s">
        <v>10438</v>
      </c>
      <c r="G109" s="181">
        <v>1</v>
      </c>
      <c r="H109" s="181">
        <v>1</v>
      </c>
      <c r="I109" s="221" t="s">
        <v>10439</v>
      </c>
      <c r="J109" s="221" t="s">
        <v>1233</v>
      </c>
      <c r="K109" s="181">
        <v>2022</v>
      </c>
      <c r="L109" s="221" t="s">
        <v>9186</v>
      </c>
      <c r="M109" s="182"/>
      <c r="N109" s="225" t="s">
        <v>10440</v>
      </c>
      <c r="O109" s="226"/>
    </row>
    <row r="110" spans="1:15" ht="26.4">
      <c r="A110" s="181">
        <v>109</v>
      </c>
      <c r="B110" s="221" t="s">
        <v>5413</v>
      </c>
      <c r="C110" s="222" t="s">
        <v>9515</v>
      </c>
      <c r="D110" s="223" t="s">
        <v>10441</v>
      </c>
      <c r="E110" s="223" t="s">
        <v>10442</v>
      </c>
      <c r="F110" s="224" t="s">
        <v>10443</v>
      </c>
      <c r="G110" s="181">
        <v>1</v>
      </c>
      <c r="H110" s="181">
        <v>1</v>
      </c>
      <c r="I110" s="221" t="s">
        <v>10444</v>
      </c>
      <c r="J110" s="221" t="s">
        <v>561</v>
      </c>
      <c r="K110" s="181">
        <v>2022</v>
      </c>
      <c r="L110" s="221" t="s">
        <v>9186</v>
      </c>
      <c r="M110" s="182"/>
      <c r="N110" s="225" t="s">
        <v>10445</v>
      </c>
      <c r="O110" s="226"/>
    </row>
    <row r="111" spans="1:15" ht="26.4">
      <c r="A111" s="181">
        <v>110</v>
      </c>
      <c r="B111" s="221" t="s">
        <v>5413</v>
      </c>
      <c r="C111" s="222" t="s">
        <v>9515</v>
      </c>
      <c r="D111" s="223" t="s">
        <v>10446</v>
      </c>
      <c r="E111" s="223" t="s">
        <v>10447</v>
      </c>
      <c r="F111" s="224" t="s">
        <v>10448</v>
      </c>
      <c r="G111" s="181">
        <v>1</v>
      </c>
      <c r="H111" s="181">
        <v>1</v>
      </c>
      <c r="I111" s="221" t="s">
        <v>467</v>
      </c>
      <c r="J111" s="221" t="s">
        <v>561</v>
      </c>
      <c r="K111" s="181">
        <v>2022</v>
      </c>
      <c r="L111" s="221" t="s">
        <v>9186</v>
      </c>
      <c r="M111" s="182"/>
      <c r="N111" s="225" t="s">
        <v>10449</v>
      </c>
      <c r="O111" s="226"/>
    </row>
    <row r="112" spans="1:15">
      <c r="A112" s="181">
        <v>111</v>
      </c>
      <c r="B112" s="221" t="s">
        <v>5413</v>
      </c>
      <c r="C112" s="222" t="s">
        <v>10450</v>
      </c>
      <c r="D112" s="223" t="s">
        <v>10451</v>
      </c>
      <c r="E112" s="223" t="s">
        <v>10452</v>
      </c>
      <c r="F112" s="224" t="s">
        <v>10453</v>
      </c>
      <c r="G112" s="181">
        <v>1</v>
      </c>
      <c r="H112" s="181">
        <v>1</v>
      </c>
      <c r="I112" s="221" t="s">
        <v>10454</v>
      </c>
      <c r="J112" s="221" t="s">
        <v>569</v>
      </c>
      <c r="K112" s="181">
        <v>2022</v>
      </c>
      <c r="L112" s="221" t="s">
        <v>9186</v>
      </c>
      <c r="M112" s="182"/>
      <c r="N112" s="225" t="s">
        <v>10455</v>
      </c>
      <c r="O112" s="226"/>
    </row>
    <row r="113" spans="1:15" ht="26.4">
      <c r="A113" s="181">
        <v>112</v>
      </c>
      <c r="B113" s="221" t="s">
        <v>571</v>
      </c>
      <c r="C113" s="222" t="s">
        <v>9598</v>
      </c>
      <c r="D113" s="223" t="s">
        <v>10456</v>
      </c>
      <c r="E113" s="223" t="s">
        <v>10457</v>
      </c>
      <c r="F113" s="224" t="s">
        <v>10458</v>
      </c>
      <c r="G113" s="181">
        <v>1</v>
      </c>
      <c r="H113" s="181">
        <v>1</v>
      </c>
      <c r="I113" s="221" t="s">
        <v>10459</v>
      </c>
      <c r="J113" s="221" t="s">
        <v>569</v>
      </c>
      <c r="K113" s="181">
        <v>2017</v>
      </c>
      <c r="L113" s="221" t="s">
        <v>9186</v>
      </c>
      <c r="M113" s="182"/>
      <c r="N113" s="225" t="s">
        <v>10460</v>
      </c>
      <c r="O113" s="226"/>
    </row>
    <row r="114" spans="1:15">
      <c r="A114" s="181">
        <v>113</v>
      </c>
      <c r="B114" s="221" t="s">
        <v>571</v>
      </c>
      <c r="C114" s="222" t="s">
        <v>9657</v>
      </c>
      <c r="D114" s="223" t="s">
        <v>10461</v>
      </c>
      <c r="E114" s="223" t="s">
        <v>10462</v>
      </c>
      <c r="F114" s="224" t="s">
        <v>10463</v>
      </c>
      <c r="G114" s="181">
        <v>1</v>
      </c>
      <c r="H114" s="181">
        <v>1</v>
      </c>
      <c r="I114" s="221" t="s">
        <v>10464</v>
      </c>
      <c r="J114" s="221" t="s">
        <v>1233</v>
      </c>
      <c r="K114" s="181">
        <v>2018</v>
      </c>
      <c r="L114" s="221" t="s">
        <v>9186</v>
      </c>
      <c r="M114" s="182"/>
      <c r="N114" s="225" t="s">
        <v>10465</v>
      </c>
      <c r="O114" s="226"/>
    </row>
    <row r="115" spans="1:15" ht="26.4">
      <c r="A115" s="181">
        <v>114</v>
      </c>
      <c r="B115" s="221" t="s">
        <v>571</v>
      </c>
      <c r="C115" s="222" t="s">
        <v>9598</v>
      </c>
      <c r="D115" s="223" t="s">
        <v>10466</v>
      </c>
      <c r="E115" s="223" t="s">
        <v>10467</v>
      </c>
      <c r="F115" s="224" t="s">
        <v>10468</v>
      </c>
      <c r="G115" s="181">
        <v>1</v>
      </c>
      <c r="H115" s="181">
        <v>1</v>
      </c>
      <c r="I115" s="221" t="s">
        <v>3446</v>
      </c>
      <c r="J115" s="221" t="s">
        <v>569</v>
      </c>
      <c r="K115" s="181">
        <v>2018</v>
      </c>
      <c r="L115" s="221" t="s">
        <v>9186</v>
      </c>
      <c r="M115" s="182"/>
      <c r="N115" s="225" t="s">
        <v>10469</v>
      </c>
      <c r="O115" s="226"/>
    </row>
    <row r="116" spans="1:15" ht="26.4">
      <c r="A116" s="181">
        <v>115</v>
      </c>
      <c r="B116" s="221" t="s">
        <v>571</v>
      </c>
      <c r="C116" s="222" t="s">
        <v>10470</v>
      </c>
      <c r="D116" s="223" t="s">
        <v>10471</v>
      </c>
      <c r="E116" s="223" t="s">
        <v>10472</v>
      </c>
      <c r="F116" s="224" t="s">
        <v>10473</v>
      </c>
      <c r="G116" s="181">
        <v>1</v>
      </c>
      <c r="H116" s="181">
        <v>1</v>
      </c>
      <c r="I116" s="221" t="s">
        <v>3446</v>
      </c>
      <c r="J116" s="221" t="s">
        <v>1233</v>
      </c>
      <c r="K116" s="181">
        <v>2019</v>
      </c>
      <c r="L116" s="221" t="s">
        <v>9186</v>
      </c>
      <c r="M116" s="182"/>
      <c r="N116" s="225" t="s">
        <v>10474</v>
      </c>
      <c r="O116" s="226"/>
    </row>
    <row r="117" spans="1:15" ht="26.4">
      <c r="A117" s="181">
        <v>116</v>
      </c>
      <c r="B117" s="221" t="s">
        <v>571</v>
      </c>
      <c r="C117" s="222" t="s">
        <v>9598</v>
      </c>
      <c r="D117" s="223" t="s">
        <v>10475</v>
      </c>
      <c r="E117" s="223" t="s">
        <v>10476</v>
      </c>
      <c r="F117" s="224" t="s">
        <v>10477</v>
      </c>
      <c r="G117" s="181">
        <v>1</v>
      </c>
      <c r="H117" s="181">
        <v>1</v>
      </c>
      <c r="I117" s="221" t="s">
        <v>10478</v>
      </c>
      <c r="J117" s="221" t="s">
        <v>569</v>
      </c>
      <c r="K117" s="181">
        <v>2020</v>
      </c>
      <c r="L117" s="221" t="s">
        <v>9186</v>
      </c>
      <c r="M117" s="182"/>
      <c r="N117" s="225" t="s">
        <v>10479</v>
      </c>
      <c r="O117" s="226"/>
    </row>
    <row r="118" spans="1:15" ht="26.4">
      <c r="A118" s="181">
        <v>117</v>
      </c>
      <c r="B118" s="221" t="s">
        <v>571</v>
      </c>
      <c r="C118" s="222" t="s">
        <v>9657</v>
      </c>
      <c r="D118" s="223" t="s">
        <v>10480</v>
      </c>
      <c r="E118" s="223" t="s">
        <v>10481</v>
      </c>
      <c r="F118" s="224" t="s">
        <v>10482</v>
      </c>
      <c r="G118" s="181">
        <v>1</v>
      </c>
      <c r="H118" s="181">
        <v>1</v>
      </c>
      <c r="I118" s="221" t="s">
        <v>3446</v>
      </c>
      <c r="J118" s="221" t="s">
        <v>1233</v>
      </c>
      <c r="K118" s="181">
        <v>2020</v>
      </c>
      <c r="L118" s="221" t="s">
        <v>9186</v>
      </c>
      <c r="M118" s="182"/>
      <c r="N118" s="225" t="s">
        <v>10483</v>
      </c>
      <c r="O118" s="226"/>
    </row>
    <row r="119" spans="1:15" ht="26.4">
      <c r="A119" s="181">
        <v>118</v>
      </c>
      <c r="B119" s="221" t="s">
        <v>571</v>
      </c>
      <c r="C119" s="222" t="s">
        <v>9614</v>
      </c>
      <c r="D119" s="223" t="s">
        <v>10484</v>
      </c>
      <c r="E119" s="223" t="s">
        <v>10485</v>
      </c>
      <c r="F119" s="224" t="s">
        <v>10486</v>
      </c>
      <c r="G119" s="181">
        <v>1</v>
      </c>
      <c r="H119" s="181">
        <v>1</v>
      </c>
      <c r="I119" s="221" t="s">
        <v>10487</v>
      </c>
      <c r="J119" s="221" t="s">
        <v>1233</v>
      </c>
      <c r="K119" s="181">
        <v>2020</v>
      </c>
      <c r="L119" s="221" t="s">
        <v>9186</v>
      </c>
      <c r="M119" s="182"/>
      <c r="N119" s="225" t="s">
        <v>10488</v>
      </c>
      <c r="O119" s="226"/>
    </row>
    <row r="120" spans="1:15" ht="26.4">
      <c r="A120" s="181">
        <v>119</v>
      </c>
      <c r="B120" s="221" t="s">
        <v>571</v>
      </c>
      <c r="C120" s="222" t="s">
        <v>9598</v>
      </c>
      <c r="D120" s="223" t="s">
        <v>10489</v>
      </c>
      <c r="E120" s="223" t="s">
        <v>10490</v>
      </c>
      <c r="F120" s="224" t="s">
        <v>10491</v>
      </c>
      <c r="G120" s="181">
        <v>1</v>
      </c>
      <c r="H120" s="181">
        <v>1</v>
      </c>
      <c r="I120" s="221" t="s">
        <v>3446</v>
      </c>
      <c r="J120" s="221" t="s">
        <v>1233</v>
      </c>
      <c r="K120" s="181">
        <v>2020</v>
      </c>
      <c r="L120" s="221" t="s">
        <v>9186</v>
      </c>
      <c r="M120" s="182"/>
      <c r="N120" s="225" t="s">
        <v>10492</v>
      </c>
      <c r="O120" s="226"/>
    </row>
    <row r="121" spans="1:15" ht="26.4">
      <c r="A121" s="181">
        <v>120</v>
      </c>
      <c r="B121" s="221" t="s">
        <v>571</v>
      </c>
      <c r="C121" s="222" t="s">
        <v>9598</v>
      </c>
      <c r="D121" s="223" t="s">
        <v>10493</v>
      </c>
      <c r="E121" s="223" t="s">
        <v>10494</v>
      </c>
      <c r="F121" s="224" t="s">
        <v>10495</v>
      </c>
      <c r="G121" s="181">
        <v>1</v>
      </c>
      <c r="H121" s="181">
        <v>1</v>
      </c>
      <c r="I121" s="221" t="s">
        <v>10496</v>
      </c>
      <c r="J121" s="221" t="s">
        <v>569</v>
      </c>
      <c r="K121" s="181">
        <v>2020</v>
      </c>
      <c r="L121" s="221" t="s">
        <v>9186</v>
      </c>
      <c r="M121" s="182"/>
      <c r="N121" s="225" t="s">
        <v>10497</v>
      </c>
      <c r="O121" s="226"/>
    </row>
    <row r="122" spans="1:15" ht="26.4">
      <c r="A122" s="181">
        <v>121</v>
      </c>
      <c r="B122" s="221" t="s">
        <v>571</v>
      </c>
      <c r="C122" s="222" t="s">
        <v>9598</v>
      </c>
      <c r="D122" s="223" t="s">
        <v>10498</v>
      </c>
      <c r="E122" s="223" t="s">
        <v>10499</v>
      </c>
      <c r="F122" s="224" t="s">
        <v>10500</v>
      </c>
      <c r="G122" s="181">
        <v>1</v>
      </c>
      <c r="H122" s="181">
        <v>1</v>
      </c>
      <c r="I122" s="221" t="s">
        <v>10501</v>
      </c>
      <c r="J122" s="221" t="s">
        <v>1233</v>
      </c>
      <c r="K122" s="181">
        <v>2020</v>
      </c>
      <c r="L122" s="221" t="s">
        <v>9186</v>
      </c>
      <c r="M122" s="182"/>
      <c r="N122" s="225" t="s">
        <v>10502</v>
      </c>
      <c r="O122" s="226"/>
    </row>
    <row r="123" spans="1:15" ht="26.4">
      <c r="A123" s="181">
        <v>122</v>
      </c>
      <c r="B123" s="221" t="s">
        <v>571</v>
      </c>
      <c r="C123" s="222" t="s">
        <v>9598</v>
      </c>
      <c r="D123" s="223" t="s">
        <v>10503</v>
      </c>
      <c r="E123" s="223" t="s">
        <v>10504</v>
      </c>
      <c r="F123" s="224" t="s">
        <v>10505</v>
      </c>
      <c r="G123" s="181">
        <v>1</v>
      </c>
      <c r="H123" s="181">
        <v>1</v>
      </c>
      <c r="I123" s="221" t="s">
        <v>3446</v>
      </c>
      <c r="J123" s="221" t="s">
        <v>569</v>
      </c>
      <c r="K123" s="181">
        <v>2021</v>
      </c>
      <c r="L123" s="221" t="s">
        <v>9186</v>
      </c>
      <c r="M123" s="182"/>
      <c r="N123" s="225" t="s">
        <v>10506</v>
      </c>
      <c r="O123" s="226"/>
    </row>
    <row r="124" spans="1:15">
      <c r="A124" s="181">
        <v>123</v>
      </c>
      <c r="B124" s="221" t="s">
        <v>571</v>
      </c>
      <c r="C124" s="222" t="s">
        <v>9598</v>
      </c>
      <c r="D124" s="223" t="s">
        <v>10507</v>
      </c>
      <c r="E124" s="223" t="s">
        <v>10508</v>
      </c>
      <c r="F124" s="224" t="s">
        <v>10509</v>
      </c>
      <c r="G124" s="181">
        <v>1</v>
      </c>
      <c r="H124" s="181">
        <v>1</v>
      </c>
      <c r="I124" s="221" t="s">
        <v>10510</v>
      </c>
      <c r="J124" s="221" t="s">
        <v>1233</v>
      </c>
      <c r="K124" s="181">
        <v>2021</v>
      </c>
      <c r="L124" s="221" t="s">
        <v>9186</v>
      </c>
      <c r="M124" s="182"/>
      <c r="N124" s="225" t="s">
        <v>10511</v>
      </c>
      <c r="O124" s="226"/>
    </row>
    <row r="125" spans="1:15">
      <c r="A125" s="181">
        <v>124</v>
      </c>
      <c r="B125" s="221" t="s">
        <v>571</v>
      </c>
      <c r="C125" s="222" t="s">
        <v>9604</v>
      </c>
      <c r="D125" s="223" t="s">
        <v>10512</v>
      </c>
      <c r="E125" s="223" t="s">
        <v>10513</v>
      </c>
      <c r="F125" s="224" t="s">
        <v>10514</v>
      </c>
      <c r="G125" s="181">
        <v>1</v>
      </c>
      <c r="H125" s="181">
        <v>1</v>
      </c>
      <c r="I125" s="221" t="s">
        <v>6410</v>
      </c>
      <c r="J125" s="221" t="s">
        <v>1233</v>
      </c>
      <c r="K125" s="181">
        <v>2021</v>
      </c>
      <c r="L125" s="221" t="s">
        <v>9186</v>
      </c>
      <c r="M125" s="182"/>
      <c r="N125" s="225" t="s">
        <v>10515</v>
      </c>
      <c r="O125" s="226"/>
    </row>
    <row r="126" spans="1:15">
      <c r="A126" s="181">
        <v>125</v>
      </c>
      <c r="B126" s="221" t="s">
        <v>571</v>
      </c>
      <c r="C126" s="222" t="s">
        <v>9598</v>
      </c>
      <c r="D126" s="223" t="s">
        <v>10516</v>
      </c>
      <c r="E126" s="223" t="s">
        <v>10517</v>
      </c>
      <c r="F126" s="224" t="s">
        <v>10518</v>
      </c>
      <c r="G126" s="181">
        <v>1</v>
      </c>
      <c r="H126" s="181">
        <v>1</v>
      </c>
      <c r="I126" s="221" t="s">
        <v>9827</v>
      </c>
      <c r="J126" s="221" t="s">
        <v>1233</v>
      </c>
      <c r="K126" s="181">
        <v>2021</v>
      </c>
      <c r="L126" s="221" t="s">
        <v>9186</v>
      </c>
      <c r="M126" s="182"/>
      <c r="N126" s="225" t="s">
        <v>10519</v>
      </c>
      <c r="O126" s="226"/>
    </row>
    <row r="127" spans="1:15">
      <c r="A127" s="181">
        <v>126</v>
      </c>
      <c r="B127" s="221" t="s">
        <v>571</v>
      </c>
      <c r="C127" s="222" t="s">
        <v>9598</v>
      </c>
      <c r="D127" s="223" t="s">
        <v>10520</v>
      </c>
      <c r="E127" s="223" t="s">
        <v>10521</v>
      </c>
      <c r="F127" s="224" t="s">
        <v>10522</v>
      </c>
      <c r="G127" s="181">
        <v>1</v>
      </c>
      <c r="H127" s="181">
        <v>1</v>
      </c>
      <c r="I127" s="221" t="s">
        <v>10523</v>
      </c>
      <c r="J127" s="221" t="s">
        <v>1233</v>
      </c>
      <c r="K127" s="181">
        <v>2021</v>
      </c>
      <c r="L127" s="221" t="s">
        <v>9186</v>
      </c>
      <c r="M127" s="182"/>
      <c r="N127" s="225" t="s">
        <v>10524</v>
      </c>
      <c r="O127" s="226"/>
    </row>
    <row r="128" spans="1:15">
      <c r="A128" s="181">
        <v>127</v>
      </c>
      <c r="B128" s="221" t="s">
        <v>571</v>
      </c>
      <c r="C128" s="222" t="s">
        <v>9806</v>
      </c>
      <c r="D128" s="223" t="s">
        <v>10525</v>
      </c>
      <c r="E128" s="223" t="s">
        <v>10526</v>
      </c>
      <c r="F128" s="224" t="s">
        <v>10527</v>
      </c>
      <c r="G128" s="181">
        <v>1</v>
      </c>
      <c r="H128" s="181">
        <v>1</v>
      </c>
      <c r="I128" s="221" t="s">
        <v>10487</v>
      </c>
      <c r="J128" s="221" t="s">
        <v>1233</v>
      </c>
      <c r="K128" s="181">
        <v>2021</v>
      </c>
      <c r="L128" s="221" t="s">
        <v>9186</v>
      </c>
      <c r="M128" s="182"/>
      <c r="N128" s="225" t="s">
        <v>10528</v>
      </c>
      <c r="O128" s="226"/>
    </row>
    <row r="129" spans="1:15">
      <c r="A129" s="181">
        <v>128</v>
      </c>
      <c r="B129" s="221" t="s">
        <v>571</v>
      </c>
      <c r="C129" s="222" t="s">
        <v>9614</v>
      </c>
      <c r="D129" s="223" t="s">
        <v>10529</v>
      </c>
      <c r="E129" s="223" t="s">
        <v>10530</v>
      </c>
      <c r="F129" s="224" t="s">
        <v>10531</v>
      </c>
      <c r="G129" s="181">
        <v>1</v>
      </c>
      <c r="H129" s="181">
        <v>1</v>
      </c>
      <c r="I129" s="221" t="s">
        <v>10532</v>
      </c>
      <c r="J129" s="221" t="s">
        <v>1233</v>
      </c>
      <c r="K129" s="181">
        <v>2021</v>
      </c>
      <c r="L129" s="221" t="s">
        <v>9186</v>
      </c>
      <c r="M129" s="182"/>
      <c r="N129" s="225" t="s">
        <v>10533</v>
      </c>
      <c r="O129" s="226"/>
    </row>
    <row r="130" spans="1:15" ht="26.4">
      <c r="A130" s="181">
        <v>129</v>
      </c>
      <c r="B130" s="221" t="s">
        <v>571</v>
      </c>
      <c r="C130" s="222" t="s">
        <v>9598</v>
      </c>
      <c r="D130" s="223" t="s">
        <v>10534</v>
      </c>
      <c r="E130" s="223" t="s">
        <v>10535</v>
      </c>
      <c r="F130" s="224" t="s">
        <v>10536</v>
      </c>
      <c r="G130" s="181">
        <v>1</v>
      </c>
      <c r="H130" s="181">
        <v>1</v>
      </c>
      <c r="I130" s="221" t="s">
        <v>10537</v>
      </c>
      <c r="J130" s="221" t="s">
        <v>1233</v>
      </c>
      <c r="K130" s="181">
        <v>2021</v>
      </c>
      <c r="L130" s="221" t="s">
        <v>9186</v>
      </c>
      <c r="M130" s="182"/>
      <c r="N130" s="225" t="s">
        <v>10538</v>
      </c>
      <c r="O130" s="226"/>
    </row>
    <row r="131" spans="1:15" ht="26.4">
      <c r="A131" s="181">
        <v>130</v>
      </c>
      <c r="B131" s="221" t="s">
        <v>571</v>
      </c>
      <c r="C131" s="222" t="s">
        <v>9598</v>
      </c>
      <c r="D131" s="223" t="s">
        <v>10539</v>
      </c>
      <c r="E131" s="223" t="s">
        <v>10540</v>
      </c>
      <c r="F131" s="224" t="s">
        <v>10541</v>
      </c>
      <c r="G131" s="181">
        <v>1</v>
      </c>
      <c r="H131" s="181">
        <v>1</v>
      </c>
      <c r="I131" s="221" t="s">
        <v>10542</v>
      </c>
      <c r="J131" s="221" t="s">
        <v>1233</v>
      </c>
      <c r="K131" s="181">
        <v>2021</v>
      </c>
      <c r="L131" s="221" t="s">
        <v>9186</v>
      </c>
      <c r="M131" s="182"/>
      <c r="N131" s="225" t="s">
        <v>10543</v>
      </c>
      <c r="O131" s="226"/>
    </row>
    <row r="132" spans="1:15" ht="26.4">
      <c r="A132" s="181">
        <v>131</v>
      </c>
      <c r="B132" s="221" t="s">
        <v>571</v>
      </c>
      <c r="C132" s="222" t="s">
        <v>9630</v>
      </c>
      <c r="D132" s="223" t="s">
        <v>10544</v>
      </c>
      <c r="E132" s="223" t="s">
        <v>10545</v>
      </c>
      <c r="F132" s="224" t="s">
        <v>10546</v>
      </c>
      <c r="G132" s="181">
        <v>1</v>
      </c>
      <c r="H132" s="181">
        <v>1</v>
      </c>
      <c r="I132" s="221" t="s">
        <v>10547</v>
      </c>
      <c r="J132" s="221" t="s">
        <v>1233</v>
      </c>
      <c r="K132" s="181">
        <v>2021</v>
      </c>
      <c r="L132" s="221" t="s">
        <v>9186</v>
      </c>
      <c r="M132" s="182"/>
      <c r="N132" s="225" t="s">
        <v>10548</v>
      </c>
      <c r="O132" s="226"/>
    </row>
    <row r="133" spans="1:15" ht="26.4">
      <c r="A133" s="181">
        <v>132</v>
      </c>
      <c r="B133" s="221" t="s">
        <v>571</v>
      </c>
      <c r="C133" s="222" t="s">
        <v>9598</v>
      </c>
      <c r="D133" s="223" t="s">
        <v>10549</v>
      </c>
      <c r="E133" s="223" t="s">
        <v>10550</v>
      </c>
      <c r="F133" s="224" t="s">
        <v>10551</v>
      </c>
      <c r="G133" s="181">
        <v>1</v>
      </c>
      <c r="H133" s="181">
        <v>1</v>
      </c>
      <c r="I133" s="221" t="s">
        <v>7067</v>
      </c>
      <c r="J133" s="221" t="s">
        <v>1233</v>
      </c>
      <c r="K133" s="181">
        <v>2021</v>
      </c>
      <c r="L133" s="221" t="s">
        <v>9186</v>
      </c>
      <c r="M133" s="182"/>
      <c r="N133" s="225" t="s">
        <v>10552</v>
      </c>
      <c r="O133" s="226"/>
    </row>
    <row r="134" spans="1:15">
      <c r="A134" s="181">
        <v>133</v>
      </c>
      <c r="B134" s="221" t="s">
        <v>571</v>
      </c>
      <c r="C134" s="222" t="s">
        <v>9604</v>
      </c>
      <c r="D134" s="223" t="s">
        <v>10553</v>
      </c>
      <c r="E134" s="223" t="s">
        <v>10554</v>
      </c>
      <c r="F134" s="224" t="s">
        <v>10555</v>
      </c>
      <c r="G134" s="181">
        <v>1</v>
      </c>
      <c r="H134" s="181">
        <v>1</v>
      </c>
      <c r="I134" s="221" t="s">
        <v>10556</v>
      </c>
      <c r="J134" s="221" t="s">
        <v>1233</v>
      </c>
      <c r="K134" s="181">
        <v>2021</v>
      </c>
      <c r="L134" s="221" t="s">
        <v>9186</v>
      </c>
      <c r="M134" s="182"/>
      <c r="N134" s="225" t="s">
        <v>10557</v>
      </c>
      <c r="O134" s="226"/>
    </row>
    <row r="135" spans="1:15" ht="26.4">
      <c r="A135" s="181">
        <v>134</v>
      </c>
      <c r="B135" s="221" t="s">
        <v>571</v>
      </c>
      <c r="C135" s="222" t="s">
        <v>9598</v>
      </c>
      <c r="D135" s="223" t="s">
        <v>10558</v>
      </c>
      <c r="E135" s="223" t="s">
        <v>10559</v>
      </c>
      <c r="F135" s="224" t="s">
        <v>10560</v>
      </c>
      <c r="G135" s="181">
        <v>1</v>
      </c>
      <c r="H135" s="181">
        <v>1</v>
      </c>
      <c r="I135" s="221" t="s">
        <v>10561</v>
      </c>
      <c r="J135" s="221" t="s">
        <v>1233</v>
      </c>
      <c r="K135" s="181">
        <v>2021</v>
      </c>
      <c r="L135" s="221" t="s">
        <v>9186</v>
      </c>
      <c r="M135" s="182"/>
      <c r="N135" s="225" t="s">
        <v>10562</v>
      </c>
      <c r="O135" s="226"/>
    </row>
    <row r="136" spans="1:15" ht="26.4">
      <c r="A136" s="181">
        <v>135</v>
      </c>
      <c r="B136" s="221" t="s">
        <v>571</v>
      </c>
      <c r="C136" s="222" t="s">
        <v>9643</v>
      </c>
      <c r="D136" s="223" t="s">
        <v>10563</v>
      </c>
      <c r="E136" s="223" t="s">
        <v>10564</v>
      </c>
      <c r="F136" s="224" t="s">
        <v>10565</v>
      </c>
      <c r="G136" s="181">
        <v>1</v>
      </c>
      <c r="H136" s="181">
        <v>1</v>
      </c>
      <c r="I136" s="221" t="s">
        <v>10566</v>
      </c>
      <c r="J136" s="221" t="s">
        <v>1233</v>
      </c>
      <c r="K136" s="181">
        <v>2021</v>
      </c>
      <c r="L136" s="221" t="s">
        <v>9186</v>
      </c>
      <c r="M136" s="182"/>
      <c r="N136" s="225" t="s">
        <v>10567</v>
      </c>
      <c r="O136" s="226"/>
    </row>
    <row r="137" spans="1:15" ht="26.4">
      <c r="A137" s="181">
        <v>136</v>
      </c>
      <c r="B137" s="221" t="s">
        <v>571</v>
      </c>
      <c r="C137" s="222" t="s">
        <v>9598</v>
      </c>
      <c r="D137" s="223" t="s">
        <v>10568</v>
      </c>
      <c r="E137" s="223" t="s">
        <v>10569</v>
      </c>
      <c r="F137" s="224" t="s">
        <v>10570</v>
      </c>
      <c r="G137" s="181">
        <v>1</v>
      </c>
      <c r="H137" s="181">
        <v>1</v>
      </c>
      <c r="I137" s="221" t="s">
        <v>10571</v>
      </c>
      <c r="J137" s="221" t="s">
        <v>1233</v>
      </c>
      <c r="K137" s="181">
        <v>2021</v>
      </c>
      <c r="L137" s="221" t="s">
        <v>9186</v>
      </c>
      <c r="M137" s="182"/>
      <c r="N137" s="225" t="s">
        <v>10572</v>
      </c>
      <c r="O137" s="226"/>
    </row>
    <row r="138" spans="1:15" ht="26.4">
      <c r="A138" s="181">
        <v>137</v>
      </c>
      <c r="B138" s="221" t="s">
        <v>571</v>
      </c>
      <c r="C138" s="222" t="s">
        <v>9657</v>
      </c>
      <c r="D138" s="223" t="s">
        <v>10573</v>
      </c>
      <c r="E138" s="223" t="s">
        <v>10574</v>
      </c>
      <c r="F138" s="224" t="s">
        <v>10575</v>
      </c>
      <c r="G138" s="181">
        <v>1</v>
      </c>
      <c r="H138" s="181">
        <v>1</v>
      </c>
      <c r="I138" s="221" t="s">
        <v>10270</v>
      </c>
      <c r="J138" s="221" t="s">
        <v>1233</v>
      </c>
      <c r="K138" s="181">
        <v>2021</v>
      </c>
      <c r="L138" s="221" t="s">
        <v>9186</v>
      </c>
      <c r="M138" s="182"/>
      <c r="N138" s="225" t="s">
        <v>10576</v>
      </c>
      <c r="O138" s="226"/>
    </row>
    <row r="139" spans="1:15">
      <c r="A139" s="181">
        <v>138</v>
      </c>
      <c r="B139" s="221" t="s">
        <v>571</v>
      </c>
      <c r="C139" s="222" t="s">
        <v>9598</v>
      </c>
      <c r="D139" s="223" t="s">
        <v>10577</v>
      </c>
      <c r="E139" s="223" t="s">
        <v>10578</v>
      </c>
      <c r="F139" s="224" t="s">
        <v>10579</v>
      </c>
      <c r="G139" s="181">
        <v>1</v>
      </c>
      <c r="H139" s="181">
        <v>1</v>
      </c>
      <c r="I139" s="221" t="s">
        <v>3446</v>
      </c>
      <c r="J139" s="221" t="s">
        <v>1233</v>
      </c>
      <c r="K139" s="181">
        <v>2022</v>
      </c>
      <c r="L139" s="221" t="s">
        <v>9186</v>
      </c>
      <c r="M139" s="182"/>
      <c r="N139" s="225" t="s">
        <v>10580</v>
      </c>
      <c r="O139" s="226"/>
    </row>
    <row r="140" spans="1:15">
      <c r="A140" s="181">
        <v>139</v>
      </c>
      <c r="B140" s="221" t="s">
        <v>571</v>
      </c>
      <c r="C140" s="222" t="s">
        <v>9598</v>
      </c>
      <c r="D140" s="223" t="s">
        <v>10581</v>
      </c>
      <c r="E140" s="223" t="s">
        <v>10582</v>
      </c>
      <c r="F140" s="224" t="s">
        <v>10583</v>
      </c>
      <c r="G140" s="181">
        <v>1</v>
      </c>
      <c r="H140" s="181">
        <v>1</v>
      </c>
      <c r="I140" s="221" t="s">
        <v>10584</v>
      </c>
      <c r="J140" s="221" t="s">
        <v>1233</v>
      </c>
      <c r="K140" s="181">
        <v>2022</v>
      </c>
      <c r="L140" s="221" t="s">
        <v>9186</v>
      </c>
      <c r="M140" s="182"/>
      <c r="N140" s="225" t="s">
        <v>10585</v>
      </c>
      <c r="O140" s="226"/>
    </row>
    <row r="141" spans="1:15" ht="26.4">
      <c r="A141" s="181">
        <v>140</v>
      </c>
      <c r="B141" s="221" t="s">
        <v>571</v>
      </c>
      <c r="C141" s="222" t="s">
        <v>9657</v>
      </c>
      <c r="D141" s="223" t="s">
        <v>10586</v>
      </c>
      <c r="E141" s="223" t="s">
        <v>10587</v>
      </c>
      <c r="F141" s="224" t="s">
        <v>10588</v>
      </c>
      <c r="G141" s="181">
        <v>1</v>
      </c>
      <c r="H141" s="181">
        <v>1</v>
      </c>
      <c r="I141" s="221" t="s">
        <v>5242</v>
      </c>
      <c r="J141" s="221" t="s">
        <v>1233</v>
      </c>
      <c r="K141" s="181">
        <v>2022</v>
      </c>
      <c r="L141" s="221" t="s">
        <v>9186</v>
      </c>
      <c r="M141" s="182"/>
      <c r="N141" s="225" t="s">
        <v>10589</v>
      </c>
      <c r="O141" s="226"/>
    </row>
    <row r="142" spans="1:15">
      <c r="A142" s="181">
        <v>141</v>
      </c>
      <c r="B142" s="221" t="s">
        <v>571</v>
      </c>
      <c r="C142" s="222" t="s">
        <v>9598</v>
      </c>
      <c r="D142" s="223" t="s">
        <v>10590</v>
      </c>
      <c r="E142" s="223" t="s">
        <v>10591</v>
      </c>
      <c r="F142" s="224" t="s">
        <v>10592</v>
      </c>
      <c r="G142" s="181">
        <v>1</v>
      </c>
      <c r="H142" s="181">
        <v>1</v>
      </c>
      <c r="I142" s="221" t="s">
        <v>10593</v>
      </c>
      <c r="J142" s="221" t="s">
        <v>1233</v>
      </c>
      <c r="K142" s="181">
        <v>2022</v>
      </c>
      <c r="L142" s="221" t="s">
        <v>9186</v>
      </c>
      <c r="M142" s="182"/>
      <c r="N142" s="225" t="s">
        <v>10594</v>
      </c>
      <c r="O142" s="226"/>
    </row>
    <row r="143" spans="1:15" ht="26.4">
      <c r="A143" s="181">
        <v>142</v>
      </c>
      <c r="B143" s="221" t="s">
        <v>571</v>
      </c>
      <c r="C143" s="222" t="s">
        <v>9598</v>
      </c>
      <c r="D143" s="223" t="s">
        <v>10595</v>
      </c>
      <c r="E143" s="223" t="s">
        <v>10596</v>
      </c>
      <c r="F143" s="224" t="s">
        <v>10597</v>
      </c>
      <c r="G143" s="181">
        <v>1</v>
      </c>
      <c r="H143" s="181">
        <v>1</v>
      </c>
      <c r="I143" s="221" t="s">
        <v>3446</v>
      </c>
      <c r="J143" s="221" t="s">
        <v>1233</v>
      </c>
      <c r="K143" s="181">
        <v>2022</v>
      </c>
      <c r="L143" s="221" t="s">
        <v>9186</v>
      </c>
      <c r="M143" s="182"/>
      <c r="N143" s="225" t="s">
        <v>10598</v>
      </c>
      <c r="O143" s="226"/>
    </row>
    <row r="144" spans="1:15" ht="26.4">
      <c r="A144" s="181">
        <v>143</v>
      </c>
      <c r="B144" s="221" t="s">
        <v>571</v>
      </c>
      <c r="C144" s="222" t="s">
        <v>9598</v>
      </c>
      <c r="D144" s="223" t="s">
        <v>10599</v>
      </c>
      <c r="E144" s="223" t="s">
        <v>10600</v>
      </c>
      <c r="F144" s="224" t="s">
        <v>10601</v>
      </c>
      <c r="G144" s="181">
        <v>1</v>
      </c>
      <c r="H144" s="181">
        <v>1</v>
      </c>
      <c r="I144" s="221" t="s">
        <v>10602</v>
      </c>
      <c r="J144" s="221" t="s">
        <v>1233</v>
      </c>
      <c r="K144" s="181">
        <v>2022</v>
      </c>
      <c r="L144" s="221" t="s">
        <v>9186</v>
      </c>
      <c r="M144" s="182"/>
      <c r="N144" s="225" t="s">
        <v>10603</v>
      </c>
      <c r="O144" s="226"/>
    </row>
    <row r="145" spans="1:15" ht="26.4">
      <c r="A145" s="181">
        <v>144</v>
      </c>
      <c r="B145" s="221" t="s">
        <v>571</v>
      </c>
      <c r="C145" s="222" t="s">
        <v>10604</v>
      </c>
      <c r="D145" s="223" t="s">
        <v>10605</v>
      </c>
      <c r="E145" s="223" t="s">
        <v>10606</v>
      </c>
      <c r="F145" s="224" t="s">
        <v>10607</v>
      </c>
      <c r="G145" s="181">
        <v>1</v>
      </c>
      <c r="H145" s="181">
        <v>1</v>
      </c>
      <c r="I145" s="221" t="s">
        <v>3446</v>
      </c>
      <c r="J145" s="221" t="s">
        <v>1233</v>
      </c>
      <c r="K145" s="181">
        <v>2022</v>
      </c>
      <c r="L145" s="221" t="s">
        <v>9186</v>
      </c>
      <c r="M145" s="182"/>
      <c r="N145" s="225" t="s">
        <v>10608</v>
      </c>
      <c r="O145" s="226"/>
    </row>
    <row r="146" spans="1:15" ht="26.4">
      <c r="A146" s="181">
        <v>145</v>
      </c>
      <c r="B146" s="221" t="s">
        <v>571</v>
      </c>
      <c r="C146" s="222" t="s">
        <v>9598</v>
      </c>
      <c r="D146" s="223" t="s">
        <v>10609</v>
      </c>
      <c r="E146" s="223" t="s">
        <v>10610</v>
      </c>
      <c r="F146" s="224" t="s">
        <v>10611</v>
      </c>
      <c r="G146" s="181">
        <v>1</v>
      </c>
      <c r="H146" s="181">
        <v>1</v>
      </c>
      <c r="I146" s="221" t="s">
        <v>10612</v>
      </c>
      <c r="J146" s="221" t="s">
        <v>569</v>
      </c>
      <c r="K146" s="181">
        <v>2022</v>
      </c>
      <c r="L146" s="221" t="s">
        <v>9186</v>
      </c>
      <c r="M146" s="182"/>
      <c r="N146" s="225" t="s">
        <v>10613</v>
      </c>
      <c r="O146" s="226"/>
    </row>
    <row r="147" spans="1:15">
      <c r="A147" s="181">
        <v>146</v>
      </c>
      <c r="B147" s="221" t="s">
        <v>571</v>
      </c>
      <c r="C147" s="222" t="s">
        <v>9598</v>
      </c>
      <c r="D147" s="223" t="s">
        <v>10614</v>
      </c>
      <c r="E147" s="223" t="s">
        <v>10615</v>
      </c>
      <c r="F147" s="224" t="s">
        <v>10616</v>
      </c>
      <c r="G147" s="181">
        <v>1</v>
      </c>
      <c r="H147" s="181">
        <v>1</v>
      </c>
      <c r="I147" s="221" t="s">
        <v>10617</v>
      </c>
      <c r="J147" s="221" t="s">
        <v>1233</v>
      </c>
      <c r="K147" s="181">
        <v>2022</v>
      </c>
      <c r="L147" s="221" t="s">
        <v>9186</v>
      </c>
      <c r="M147" s="182"/>
      <c r="N147" s="225" t="s">
        <v>10618</v>
      </c>
      <c r="O147" s="226"/>
    </row>
    <row r="148" spans="1:15" ht="26.4">
      <c r="A148" s="181">
        <v>147</v>
      </c>
      <c r="B148" s="221" t="s">
        <v>571</v>
      </c>
      <c r="C148" s="222" t="s">
        <v>9657</v>
      </c>
      <c r="D148" s="223" t="s">
        <v>10619</v>
      </c>
      <c r="E148" s="223" t="s">
        <v>10620</v>
      </c>
      <c r="F148" s="224" t="s">
        <v>10621</v>
      </c>
      <c r="G148" s="181">
        <v>1</v>
      </c>
      <c r="H148" s="181">
        <v>1</v>
      </c>
      <c r="I148" s="221" t="s">
        <v>9705</v>
      </c>
      <c r="J148" s="221" t="s">
        <v>1233</v>
      </c>
      <c r="K148" s="181">
        <v>2022</v>
      </c>
      <c r="L148" s="221" t="s">
        <v>9186</v>
      </c>
      <c r="M148" s="182"/>
      <c r="N148" s="225" t="s">
        <v>10622</v>
      </c>
      <c r="O148" s="226"/>
    </row>
    <row r="149" spans="1:15" ht="26.4">
      <c r="A149" s="181">
        <v>148</v>
      </c>
      <c r="B149" s="221" t="s">
        <v>571</v>
      </c>
      <c r="C149" s="222" t="s">
        <v>9598</v>
      </c>
      <c r="D149" s="223" t="s">
        <v>10623</v>
      </c>
      <c r="E149" s="223" t="s">
        <v>10624</v>
      </c>
      <c r="F149" s="224" t="s">
        <v>10625</v>
      </c>
      <c r="G149" s="181">
        <v>1</v>
      </c>
      <c r="H149" s="181">
        <v>1</v>
      </c>
      <c r="I149" s="221" t="s">
        <v>3446</v>
      </c>
      <c r="J149" s="221" t="s">
        <v>1233</v>
      </c>
      <c r="K149" s="181">
        <v>2022</v>
      </c>
      <c r="L149" s="221" t="s">
        <v>9186</v>
      </c>
      <c r="M149" s="182"/>
      <c r="N149" s="225" t="s">
        <v>10626</v>
      </c>
      <c r="O149" s="226"/>
    </row>
    <row r="150" spans="1:15">
      <c r="A150" s="181">
        <v>149</v>
      </c>
      <c r="B150" s="221" t="s">
        <v>571</v>
      </c>
      <c r="C150" s="222" t="s">
        <v>9643</v>
      </c>
      <c r="D150" s="223" t="s">
        <v>10627</v>
      </c>
      <c r="E150" s="223" t="s">
        <v>10628</v>
      </c>
      <c r="F150" s="224" t="s">
        <v>10629</v>
      </c>
      <c r="G150" s="181">
        <v>1</v>
      </c>
      <c r="H150" s="181">
        <v>1</v>
      </c>
      <c r="I150" s="221" t="s">
        <v>10630</v>
      </c>
      <c r="J150" s="221" t="s">
        <v>1233</v>
      </c>
      <c r="K150" s="181">
        <v>2022</v>
      </c>
      <c r="L150" s="221" t="s">
        <v>9186</v>
      </c>
      <c r="M150" s="182"/>
      <c r="N150" s="225" t="s">
        <v>10631</v>
      </c>
      <c r="O150" s="226"/>
    </row>
    <row r="151" spans="1:15">
      <c r="A151" s="181">
        <v>150</v>
      </c>
      <c r="B151" s="221" t="s">
        <v>571</v>
      </c>
      <c r="C151" s="222" t="s">
        <v>9598</v>
      </c>
      <c r="D151" s="223" t="s">
        <v>10632</v>
      </c>
      <c r="E151" s="223" t="s">
        <v>10633</v>
      </c>
      <c r="F151" s="224" t="s">
        <v>10634</v>
      </c>
      <c r="G151" s="181">
        <v>1</v>
      </c>
      <c r="H151" s="181">
        <v>1</v>
      </c>
      <c r="I151" s="221" t="s">
        <v>10635</v>
      </c>
      <c r="J151" s="221" t="s">
        <v>1233</v>
      </c>
      <c r="K151" s="181">
        <v>2022</v>
      </c>
      <c r="L151" s="221" t="s">
        <v>9186</v>
      </c>
      <c r="M151" s="182"/>
      <c r="N151" s="225" t="s">
        <v>10636</v>
      </c>
      <c r="O151" s="226"/>
    </row>
    <row r="152" spans="1:15">
      <c r="A152" s="181">
        <v>151</v>
      </c>
      <c r="B152" s="221" t="s">
        <v>571</v>
      </c>
      <c r="C152" s="222" t="s">
        <v>9604</v>
      </c>
      <c r="D152" s="223" t="s">
        <v>10637</v>
      </c>
      <c r="E152" s="223" t="s">
        <v>10638</v>
      </c>
      <c r="F152" s="224" t="s">
        <v>10639</v>
      </c>
      <c r="G152" s="181">
        <v>1</v>
      </c>
      <c r="H152" s="181">
        <v>1</v>
      </c>
      <c r="I152" s="221" t="s">
        <v>8418</v>
      </c>
      <c r="J152" s="221" t="s">
        <v>1233</v>
      </c>
      <c r="K152" s="181">
        <v>2022</v>
      </c>
      <c r="L152" s="221" t="s">
        <v>9186</v>
      </c>
      <c r="M152" s="182"/>
      <c r="N152" s="225" t="s">
        <v>10640</v>
      </c>
      <c r="O152" s="226"/>
    </row>
    <row r="153" spans="1:15" ht="26.4">
      <c r="A153" s="181">
        <v>152</v>
      </c>
      <c r="B153" s="221" t="s">
        <v>571</v>
      </c>
      <c r="C153" s="222" t="s">
        <v>9604</v>
      </c>
      <c r="D153" s="223" t="s">
        <v>10641</v>
      </c>
      <c r="E153" s="223" t="s">
        <v>10642</v>
      </c>
      <c r="F153" s="224" t="s">
        <v>10643</v>
      </c>
      <c r="G153" s="181">
        <v>1</v>
      </c>
      <c r="H153" s="181">
        <v>1</v>
      </c>
      <c r="I153" s="221" t="s">
        <v>9691</v>
      </c>
      <c r="J153" s="221" t="s">
        <v>1233</v>
      </c>
      <c r="K153" s="181">
        <v>2022</v>
      </c>
      <c r="L153" s="221" t="s">
        <v>9186</v>
      </c>
      <c r="M153" s="182"/>
      <c r="N153" s="225" t="s">
        <v>10644</v>
      </c>
      <c r="O153" s="226"/>
    </row>
    <row r="154" spans="1:15">
      <c r="A154" s="181">
        <v>153</v>
      </c>
      <c r="B154" s="221" t="s">
        <v>571</v>
      </c>
      <c r="C154" s="222" t="s">
        <v>9598</v>
      </c>
      <c r="D154" s="223" t="s">
        <v>10645</v>
      </c>
      <c r="E154" s="223" t="s">
        <v>10646</v>
      </c>
      <c r="F154" s="224" t="s">
        <v>10647</v>
      </c>
      <c r="G154" s="181">
        <v>1</v>
      </c>
      <c r="H154" s="181">
        <v>1</v>
      </c>
      <c r="I154" s="221" t="s">
        <v>10648</v>
      </c>
      <c r="J154" s="221" t="s">
        <v>1233</v>
      </c>
      <c r="K154" s="181">
        <v>2022</v>
      </c>
      <c r="L154" s="221" t="s">
        <v>9186</v>
      </c>
      <c r="M154" s="182"/>
      <c r="N154" s="225" t="s">
        <v>10649</v>
      </c>
      <c r="O154" s="226"/>
    </row>
    <row r="155" spans="1:15" ht="26.4">
      <c r="A155" s="181">
        <v>154</v>
      </c>
      <c r="B155" s="221" t="s">
        <v>571</v>
      </c>
      <c r="C155" s="222" t="s">
        <v>9598</v>
      </c>
      <c r="D155" s="223" t="s">
        <v>10650</v>
      </c>
      <c r="E155" s="223" t="s">
        <v>10651</v>
      </c>
      <c r="F155" s="224" t="s">
        <v>10652</v>
      </c>
      <c r="G155" s="181">
        <v>1</v>
      </c>
      <c r="H155" s="181">
        <v>1</v>
      </c>
      <c r="I155" s="221" t="s">
        <v>10653</v>
      </c>
      <c r="J155" s="221" t="s">
        <v>1233</v>
      </c>
      <c r="K155" s="181">
        <v>2022</v>
      </c>
      <c r="L155" s="221" t="s">
        <v>9186</v>
      </c>
      <c r="M155" s="182"/>
      <c r="N155" s="225" t="s">
        <v>10654</v>
      </c>
      <c r="O155" s="226"/>
    </row>
    <row r="156" spans="1:15" ht="26.4">
      <c r="A156" s="181">
        <v>155</v>
      </c>
      <c r="B156" s="221" t="s">
        <v>571</v>
      </c>
      <c r="C156" s="222" t="s">
        <v>9598</v>
      </c>
      <c r="D156" s="223" t="s">
        <v>10655</v>
      </c>
      <c r="E156" s="223" t="s">
        <v>10656</v>
      </c>
      <c r="F156" s="224" t="s">
        <v>10657</v>
      </c>
      <c r="G156" s="181">
        <v>1</v>
      </c>
      <c r="H156" s="181">
        <v>1</v>
      </c>
      <c r="I156" s="221" t="s">
        <v>6662</v>
      </c>
      <c r="J156" s="221" t="s">
        <v>569</v>
      </c>
      <c r="K156" s="181">
        <v>2022</v>
      </c>
      <c r="L156" s="221" t="s">
        <v>9186</v>
      </c>
      <c r="M156" s="182"/>
      <c r="N156" s="225" t="s">
        <v>10658</v>
      </c>
      <c r="O156" s="226"/>
    </row>
    <row r="157" spans="1:15" ht="26.4">
      <c r="A157" s="181">
        <v>156</v>
      </c>
      <c r="B157" s="221" t="s">
        <v>571</v>
      </c>
      <c r="C157" s="222" t="s">
        <v>9598</v>
      </c>
      <c r="D157" s="223" t="s">
        <v>10659</v>
      </c>
      <c r="E157" s="223" t="s">
        <v>10660</v>
      </c>
      <c r="F157" s="224" t="s">
        <v>10661</v>
      </c>
      <c r="G157" s="181">
        <v>1</v>
      </c>
      <c r="H157" s="181">
        <v>1</v>
      </c>
      <c r="I157" s="221" t="s">
        <v>10662</v>
      </c>
      <c r="J157" s="221" t="s">
        <v>1233</v>
      </c>
      <c r="K157" s="181">
        <v>2022</v>
      </c>
      <c r="L157" s="221" t="s">
        <v>9186</v>
      </c>
      <c r="M157" s="182"/>
      <c r="N157" s="225" t="s">
        <v>10663</v>
      </c>
      <c r="O157" s="226"/>
    </row>
    <row r="158" spans="1:15" ht="26.4">
      <c r="A158" s="181">
        <v>157</v>
      </c>
      <c r="B158" s="221" t="s">
        <v>571</v>
      </c>
      <c r="C158" s="222" t="s">
        <v>9657</v>
      </c>
      <c r="D158" s="223" t="s">
        <v>10664</v>
      </c>
      <c r="E158" s="223" t="s">
        <v>10665</v>
      </c>
      <c r="F158" s="224" t="s">
        <v>10666</v>
      </c>
      <c r="G158" s="181">
        <v>1</v>
      </c>
      <c r="H158" s="181">
        <v>1</v>
      </c>
      <c r="I158" s="221" t="s">
        <v>3446</v>
      </c>
      <c r="J158" s="221" t="s">
        <v>1233</v>
      </c>
      <c r="K158" s="181">
        <v>2022</v>
      </c>
      <c r="L158" s="221" t="s">
        <v>9186</v>
      </c>
      <c r="M158" s="182"/>
      <c r="N158" s="225" t="s">
        <v>10667</v>
      </c>
      <c r="O158" s="226"/>
    </row>
    <row r="159" spans="1:15" ht="26.4">
      <c r="A159" s="181">
        <v>158</v>
      </c>
      <c r="B159" s="221" t="s">
        <v>571</v>
      </c>
      <c r="C159" s="222" t="s">
        <v>9643</v>
      </c>
      <c r="D159" s="223" t="s">
        <v>10668</v>
      </c>
      <c r="E159" s="223" t="s">
        <v>10669</v>
      </c>
      <c r="F159" s="224" t="s">
        <v>10670</v>
      </c>
      <c r="G159" s="181">
        <v>1</v>
      </c>
      <c r="H159" s="181">
        <v>1</v>
      </c>
      <c r="I159" s="221" t="s">
        <v>10671</v>
      </c>
      <c r="J159" s="221" t="s">
        <v>1233</v>
      </c>
      <c r="K159" s="181">
        <v>2022</v>
      </c>
      <c r="L159" s="221" t="s">
        <v>9186</v>
      </c>
      <c r="M159" s="182"/>
      <c r="N159" s="225" t="s">
        <v>10672</v>
      </c>
      <c r="O159" s="226"/>
    </row>
    <row r="160" spans="1:15" ht="26.4">
      <c r="A160" s="181">
        <v>159</v>
      </c>
      <c r="B160" s="221" t="s">
        <v>571</v>
      </c>
      <c r="C160" s="222" t="s">
        <v>9598</v>
      </c>
      <c r="D160" s="223" t="s">
        <v>10673</v>
      </c>
      <c r="E160" s="223" t="s">
        <v>10674</v>
      </c>
      <c r="F160" s="224" t="s">
        <v>10675</v>
      </c>
      <c r="G160" s="181">
        <v>1</v>
      </c>
      <c r="H160" s="181">
        <v>1</v>
      </c>
      <c r="I160" s="221" t="s">
        <v>10676</v>
      </c>
      <c r="J160" s="221" t="s">
        <v>1233</v>
      </c>
      <c r="K160" s="181">
        <v>2022</v>
      </c>
      <c r="L160" s="221" t="s">
        <v>9186</v>
      </c>
      <c r="M160" s="182"/>
      <c r="N160" s="225" t="s">
        <v>10677</v>
      </c>
      <c r="O160" s="226"/>
    </row>
    <row r="161" spans="1:15" ht="26.4">
      <c r="A161" s="181">
        <v>160</v>
      </c>
      <c r="B161" s="221" t="s">
        <v>571</v>
      </c>
      <c r="C161" s="222" t="s">
        <v>9598</v>
      </c>
      <c r="D161" s="223" t="s">
        <v>10678</v>
      </c>
      <c r="E161" s="223" t="s">
        <v>10679</v>
      </c>
      <c r="F161" s="224" t="s">
        <v>10680</v>
      </c>
      <c r="G161" s="181">
        <v>1</v>
      </c>
      <c r="H161" s="181">
        <v>1</v>
      </c>
      <c r="I161" s="221" t="s">
        <v>6262</v>
      </c>
      <c r="J161" s="221" t="s">
        <v>1233</v>
      </c>
      <c r="K161" s="181">
        <v>2022</v>
      </c>
      <c r="L161" s="221" t="s">
        <v>9186</v>
      </c>
      <c r="M161" s="182"/>
      <c r="N161" s="225" t="s">
        <v>10681</v>
      </c>
      <c r="O161" s="226"/>
    </row>
    <row r="162" spans="1:15" ht="26.4">
      <c r="A162" s="181">
        <v>161</v>
      </c>
      <c r="B162" s="221" t="s">
        <v>571</v>
      </c>
      <c r="C162" s="222" t="s">
        <v>9598</v>
      </c>
      <c r="D162" s="223" t="s">
        <v>10682</v>
      </c>
      <c r="E162" s="223" t="s">
        <v>10683</v>
      </c>
      <c r="F162" s="224" t="s">
        <v>10684</v>
      </c>
      <c r="G162" s="181">
        <v>1</v>
      </c>
      <c r="H162" s="181">
        <v>1</v>
      </c>
      <c r="I162" s="221" t="s">
        <v>10685</v>
      </c>
      <c r="J162" s="221" t="s">
        <v>1233</v>
      </c>
      <c r="K162" s="181">
        <v>2022</v>
      </c>
      <c r="L162" s="221" t="s">
        <v>9186</v>
      </c>
      <c r="M162" s="182"/>
      <c r="N162" s="225" t="s">
        <v>10686</v>
      </c>
      <c r="O162" s="226"/>
    </row>
    <row r="163" spans="1:15" ht="26.4">
      <c r="A163" s="181">
        <v>162</v>
      </c>
      <c r="B163" s="221" t="s">
        <v>571</v>
      </c>
      <c r="C163" s="222" t="s">
        <v>9598</v>
      </c>
      <c r="D163" s="223" t="s">
        <v>10687</v>
      </c>
      <c r="E163" s="223" t="s">
        <v>10688</v>
      </c>
      <c r="F163" s="224" t="s">
        <v>10689</v>
      </c>
      <c r="G163" s="181">
        <v>1</v>
      </c>
      <c r="H163" s="181">
        <v>1</v>
      </c>
      <c r="I163" s="221" t="s">
        <v>10690</v>
      </c>
      <c r="J163" s="221" t="s">
        <v>1233</v>
      </c>
      <c r="K163" s="181">
        <v>2022</v>
      </c>
      <c r="L163" s="221" t="s">
        <v>9186</v>
      </c>
      <c r="M163" s="182"/>
      <c r="N163" s="225" t="s">
        <v>10691</v>
      </c>
      <c r="O163" s="226"/>
    </row>
    <row r="164" spans="1:15" s="73" customFormat="1" ht="39.6">
      <c r="A164" s="181">
        <v>163</v>
      </c>
      <c r="B164" s="227" t="s">
        <v>5071</v>
      </c>
      <c r="C164" s="227" t="s">
        <v>10698</v>
      </c>
      <c r="D164" s="228">
        <v>9781799864301</v>
      </c>
      <c r="E164" s="228">
        <v>9781799864288</v>
      </c>
      <c r="F164" s="229" t="s">
        <v>10692</v>
      </c>
      <c r="G164" s="230">
        <v>1</v>
      </c>
      <c r="H164" s="230">
        <v>1</v>
      </c>
      <c r="I164" s="229" t="s">
        <v>10693</v>
      </c>
      <c r="J164" s="229" t="s">
        <v>568</v>
      </c>
      <c r="K164" s="230">
        <v>2021</v>
      </c>
      <c r="L164" s="231" t="s">
        <v>9186</v>
      </c>
      <c r="M164" s="232" t="s">
        <v>10694</v>
      </c>
      <c r="N164" s="233" t="s">
        <v>10695</v>
      </c>
      <c r="O164" s="226"/>
    </row>
    <row r="165" spans="1:15" s="73" customFormat="1" ht="52.8">
      <c r="A165" s="181">
        <v>164</v>
      </c>
      <c r="B165" s="227" t="s">
        <v>571</v>
      </c>
      <c r="C165" s="227" t="s">
        <v>10699</v>
      </c>
      <c r="D165" s="228">
        <v>9781799844006</v>
      </c>
      <c r="E165" s="228">
        <v>9781799843993</v>
      </c>
      <c r="F165" s="229" t="s">
        <v>10696</v>
      </c>
      <c r="G165" s="230">
        <v>1</v>
      </c>
      <c r="H165" s="230">
        <v>1</v>
      </c>
      <c r="I165" s="229" t="s">
        <v>8348</v>
      </c>
      <c r="J165" s="229" t="s">
        <v>1233</v>
      </c>
      <c r="K165" s="230">
        <v>2021</v>
      </c>
      <c r="L165" s="231" t="s">
        <v>9186</v>
      </c>
      <c r="M165" s="232" t="s">
        <v>10694</v>
      </c>
      <c r="N165" s="233" t="s">
        <v>10697</v>
      </c>
      <c r="O165" s="226"/>
    </row>
  </sheetData>
  <phoneticPr fontId="3" type="noConversion"/>
  <hyperlinks>
    <hyperlink ref="N2" r:id="rId1" xr:uid="{791215DB-6268-4B27-B596-4842FBD93C7D}"/>
    <hyperlink ref="N3" r:id="rId2" xr:uid="{C788972C-0FFD-4214-BCA9-74C0774F8054}"/>
    <hyperlink ref="N4" r:id="rId3" xr:uid="{BD82E557-DB7D-48AF-98B7-4E14E1C65610}"/>
    <hyperlink ref="N5" r:id="rId4" xr:uid="{788FBE69-3BB7-4650-B2AE-E4FFCA49109A}"/>
    <hyperlink ref="N6" r:id="rId5" xr:uid="{74BB9F82-9DA9-4367-A3DF-8FE559ED007A}"/>
    <hyperlink ref="N7" r:id="rId6" xr:uid="{6EF83079-3DB4-4945-A92A-3C5F42F3E6C7}"/>
    <hyperlink ref="N8" r:id="rId7" xr:uid="{21A01703-B22D-4C16-89CA-5CF6C7356E32}"/>
    <hyperlink ref="N9" r:id="rId8" xr:uid="{F4351870-873F-4445-A595-E1A4BF3A7675}"/>
    <hyperlink ref="N10" r:id="rId9" xr:uid="{E85642D2-411A-406C-97FC-04AF2D9C4F4F}"/>
    <hyperlink ref="N11" r:id="rId10" xr:uid="{3F085592-BEBA-473F-9764-661CCB179879}"/>
    <hyperlink ref="N12" r:id="rId11" xr:uid="{855D8065-52E3-46BA-8302-596784012391}"/>
    <hyperlink ref="N13" r:id="rId12" xr:uid="{43C88345-F88D-4596-BE10-5C15A0A4EE2B}"/>
    <hyperlink ref="N14" r:id="rId13" xr:uid="{29AE1BA0-E1D3-4D82-AC9C-A057A18AB3C9}"/>
    <hyperlink ref="N15" r:id="rId14" xr:uid="{016169DA-DD40-462E-956D-FFAF7F5CE3DD}"/>
    <hyperlink ref="N16" r:id="rId15" xr:uid="{A980C20B-B31E-44C5-A056-74BC498BF306}"/>
    <hyperlink ref="N17" r:id="rId16" xr:uid="{522BABB9-A101-4414-B80E-E73ABF3C3B09}"/>
    <hyperlink ref="N18" r:id="rId17" xr:uid="{5CDC2244-F55C-4733-BFAA-67D8423B6975}"/>
    <hyperlink ref="N19" r:id="rId18" xr:uid="{66FE72C7-6F29-4714-A5A9-63CA1AA09459}"/>
    <hyperlink ref="N20" r:id="rId19" xr:uid="{2BFADB43-71D4-4C18-BAD1-8A01D561CFD8}"/>
    <hyperlink ref="N21" r:id="rId20" xr:uid="{075616B7-7138-40C8-8189-8F6B6CDA1657}"/>
    <hyperlink ref="N22" r:id="rId21" xr:uid="{D86191A2-F461-453B-A5BC-C91CADDD6A76}"/>
    <hyperlink ref="N23" r:id="rId22" xr:uid="{B65F978A-6BD8-416A-B579-FCF793B20988}"/>
    <hyperlink ref="N24" r:id="rId23" xr:uid="{E0D32036-D377-42CD-A3BA-09D2B90E8260}"/>
    <hyperlink ref="N25" r:id="rId24" xr:uid="{AAC6C360-9280-4246-A07E-344BFAB49A79}"/>
    <hyperlink ref="N26" r:id="rId25" xr:uid="{AAB11DFD-F5C8-45D2-85AF-59FFC6E28249}"/>
    <hyperlink ref="N27" r:id="rId26" xr:uid="{A09AA963-93EB-417F-B527-C1B9D59E188D}"/>
    <hyperlink ref="N28" r:id="rId27" xr:uid="{2D72CCC9-B93A-4740-9BEB-DAF3C8CCA5C7}"/>
    <hyperlink ref="N29" r:id="rId28" xr:uid="{92E3BA27-23CB-4540-8141-F6EBCEADC549}"/>
    <hyperlink ref="N30" r:id="rId29" xr:uid="{15034C65-2CD5-4674-86F0-DD5D3F793656}"/>
    <hyperlink ref="N31" r:id="rId30" xr:uid="{3C89B801-8F27-4B87-87AD-1DE2950FC497}"/>
    <hyperlink ref="N32" r:id="rId31" xr:uid="{0E348D25-D1B3-4BF7-A634-6E0C770D7BFC}"/>
    <hyperlink ref="N33" r:id="rId32" xr:uid="{D43F1759-543C-42EB-8033-6E33B8EBBC2A}"/>
    <hyperlink ref="N34" r:id="rId33" xr:uid="{C7B6146C-1A85-4073-8F3E-F0740669E9D0}"/>
    <hyperlink ref="N35" r:id="rId34" xr:uid="{838C627C-A8E8-40C0-A640-72CD7F37910D}"/>
    <hyperlink ref="N36" r:id="rId35" xr:uid="{F885E28D-3DD2-44D4-B6A8-3BAF80F7A581}"/>
    <hyperlink ref="N37" r:id="rId36" xr:uid="{E6CFCE54-2C9F-485B-910D-F9488173BE95}"/>
    <hyperlink ref="N38" r:id="rId37" xr:uid="{AC434C62-37CB-4D83-B486-CA8F6800647A}"/>
    <hyperlink ref="N39" r:id="rId38" xr:uid="{28ED0F5B-A7A2-4992-9940-BE02D25F8E65}"/>
    <hyperlink ref="N40" r:id="rId39" xr:uid="{9AF12679-3118-48F8-8529-EE6F7A9E4BFF}"/>
    <hyperlink ref="N41" r:id="rId40" xr:uid="{BF37EC7E-BFF1-4920-9AD9-EC088E43E458}"/>
    <hyperlink ref="N42" r:id="rId41" xr:uid="{4B9822CA-7E1B-4C03-8FE5-E3573BB8DCEB}"/>
    <hyperlink ref="N43" r:id="rId42" xr:uid="{41631D6A-70D8-4296-9E37-FCFD5414D2D0}"/>
    <hyperlink ref="N44" r:id="rId43" xr:uid="{F55665F7-F602-4F4D-A1A3-5D0CAD05E1AB}"/>
    <hyperlink ref="N45" r:id="rId44" xr:uid="{38FAB04B-EDF1-436A-9E07-94AC8944A1A2}"/>
    <hyperlink ref="N46" r:id="rId45" xr:uid="{19E9A3F5-9162-4AE5-8327-CD28928D03CF}"/>
    <hyperlink ref="N47" r:id="rId46" xr:uid="{78F2A6AE-0869-4D6B-B956-7DAD4D858086}"/>
    <hyperlink ref="N48" r:id="rId47" xr:uid="{E3480F5D-BDB0-466F-8C6D-3D498CCFC69D}"/>
    <hyperlink ref="N49" r:id="rId48" xr:uid="{D7D0CB70-088C-4FE7-A951-95918D73790C}"/>
    <hyperlink ref="N50" r:id="rId49" xr:uid="{D363C3C4-2DF3-46CB-A93B-72825AC9B8FD}"/>
    <hyperlink ref="N51" r:id="rId50" xr:uid="{ECDA34C8-D0A3-4429-A87F-2D94D7B44376}"/>
    <hyperlink ref="N52" r:id="rId51" xr:uid="{A113A850-7DD0-4D95-B4F8-44491A7F9D96}"/>
    <hyperlink ref="N53" r:id="rId52" xr:uid="{D295B15C-6FD7-4F75-B908-8E4833D62A02}"/>
    <hyperlink ref="N54" r:id="rId53" xr:uid="{322834AF-8987-4BD9-828A-D4DC762867AE}"/>
    <hyperlink ref="N55" r:id="rId54" xr:uid="{7FEDBAD1-3356-4918-B007-9E58F2A80CAA}"/>
    <hyperlink ref="N56" r:id="rId55" xr:uid="{6F928CCC-F799-4EE8-BC44-EF8D92C81543}"/>
    <hyperlink ref="N57" r:id="rId56" xr:uid="{360B1345-99FB-4094-B39E-D76629A92DDC}"/>
    <hyperlink ref="N58" r:id="rId57" xr:uid="{FE224280-992C-4757-AFB4-7E83FD365509}"/>
    <hyperlink ref="N59" r:id="rId58" xr:uid="{2A40C826-62A6-4D67-9116-4DEBD6003C9D}"/>
    <hyperlink ref="N60" r:id="rId59" xr:uid="{65AE86EF-951C-4AFA-86B4-4670C66E4648}"/>
    <hyperlink ref="N61" r:id="rId60" xr:uid="{7709CE14-1D11-4396-A1CA-5A1E9357EAF1}"/>
    <hyperlink ref="N62" r:id="rId61" xr:uid="{A3C8941E-3B6B-4950-AF23-83CCCC59BB1F}"/>
    <hyperlink ref="N63" r:id="rId62" xr:uid="{57CCD856-DD2C-4D75-8715-072F064F434D}"/>
    <hyperlink ref="N64" r:id="rId63" xr:uid="{4B294CC4-3E16-47BD-A94D-7C3FBDB5D547}"/>
    <hyperlink ref="N65" r:id="rId64" xr:uid="{9F315B03-9A3F-4D99-9425-352256B9261A}"/>
    <hyperlink ref="N66" r:id="rId65" xr:uid="{2D06324E-12C8-4FE0-BF7F-160B8D70EBB4}"/>
    <hyperlink ref="N67" r:id="rId66" xr:uid="{C928149C-B007-468E-BE2A-20E54FC347CB}"/>
    <hyperlink ref="N68" r:id="rId67" xr:uid="{8DA1F9C9-17D2-4AD9-8AC2-02A1A09917CE}"/>
    <hyperlink ref="N69" r:id="rId68" xr:uid="{87C65010-EDFE-409E-B760-A703ECAC6950}"/>
    <hyperlink ref="N70" r:id="rId69" xr:uid="{94AB54D9-49AF-4651-B532-E7FD8C49F3FB}"/>
    <hyperlink ref="N71" r:id="rId70" xr:uid="{CEC0388F-BA62-48E4-B846-F395C102FC60}"/>
    <hyperlink ref="N72" r:id="rId71" xr:uid="{7E488416-16BC-451A-A549-1A6CD0DB0DE6}"/>
    <hyperlink ref="N73" r:id="rId72" xr:uid="{1C2141EB-A4A6-4780-9906-CB4806EF27CD}"/>
    <hyperlink ref="N74" r:id="rId73" xr:uid="{362FBAD1-3D68-40DE-871A-50B30529E907}"/>
    <hyperlink ref="N75" r:id="rId74" xr:uid="{AAB2B4DC-47F5-44B4-A5DE-225531ED020B}"/>
    <hyperlink ref="N76" r:id="rId75" xr:uid="{CACC787E-A220-4FC2-A098-5F5D35C089D4}"/>
    <hyperlink ref="N77" r:id="rId76" xr:uid="{AC48546A-3298-4F13-A830-F0E6BBED71C8}"/>
    <hyperlink ref="N78" r:id="rId77" xr:uid="{8CD0BEF2-6736-4E90-9B5D-E75467599457}"/>
    <hyperlink ref="N79" r:id="rId78" xr:uid="{8D0CE74D-68E0-4631-873E-24C477C1317A}"/>
    <hyperlink ref="N80" r:id="rId79" xr:uid="{D126A299-B334-4BE5-B343-14D14370199E}"/>
    <hyperlink ref="N81" r:id="rId80" xr:uid="{3256659B-2FE1-41D2-ABC1-E26247135062}"/>
    <hyperlink ref="N82" r:id="rId81" xr:uid="{78CD8F2E-33B3-4E18-A173-048ED365381B}"/>
    <hyperlink ref="N83" r:id="rId82" xr:uid="{ABA2CEF0-9532-4BE2-9988-7E3DD39AEEF7}"/>
    <hyperlink ref="N84" r:id="rId83" xr:uid="{7DF76D83-F97F-4FFF-B43E-09E38A299CB4}"/>
    <hyperlink ref="N85" r:id="rId84" xr:uid="{49E67867-3A61-4F7B-9541-7859B0EE55CE}"/>
    <hyperlink ref="N86" r:id="rId85" xr:uid="{2769E292-FA58-491B-B929-E583C82326A0}"/>
    <hyperlink ref="N87" r:id="rId86" xr:uid="{5B10A7B1-17B3-439E-9BAE-1DDD03A42433}"/>
    <hyperlink ref="N88" r:id="rId87" xr:uid="{BB4FC94A-89D8-4AF7-A1A8-7624AA2603ED}"/>
    <hyperlink ref="N89" r:id="rId88" xr:uid="{B83A9D32-1E40-4F79-A9C1-FF9ADCEAC3A7}"/>
    <hyperlink ref="N90" r:id="rId89" xr:uid="{DB6985E8-A90B-42A4-A3FF-1A0CE7878E41}"/>
    <hyperlink ref="N91" r:id="rId90" xr:uid="{D76C9D50-7DE2-4ACB-A090-A86B0CB63512}"/>
    <hyperlink ref="N92" r:id="rId91" xr:uid="{6CF41E07-DD30-460A-B563-2B92F86E6D66}"/>
    <hyperlink ref="N93" r:id="rId92" xr:uid="{081E3E46-D1A7-43F8-A015-D2F485236871}"/>
    <hyperlink ref="N94" r:id="rId93" xr:uid="{92EC93F2-A6A6-4D43-9085-7F128737AAA7}"/>
    <hyperlink ref="N95" r:id="rId94" xr:uid="{E9887DE7-C275-465E-9F25-2AA39788151A}"/>
    <hyperlink ref="N96" r:id="rId95" xr:uid="{F0927729-CAB1-475C-9574-1C86FFFC4112}"/>
    <hyperlink ref="N97" r:id="rId96" xr:uid="{E950A192-8776-4BC4-893A-56F7CAEC9AEF}"/>
    <hyperlink ref="N98" r:id="rId97" xr:uid="{B13E6B33-E3A9-4F98-8970-0AAAA383DBFF}"/>
    <hyperlink ref="N99" r:id="rId98" xr:uid="{C756ED13-028E-498B-B189-B04E89D0212B}"/>
    <hyperlink ref="N100" r:id="rId99" xr:uid="{90D327EF-3E8F-4991-961D-3BECEC65BC3B}"/>
    <hyperlink ref="N101" r:id="rId100" xr:uid="{9E85F267-5D9E-4627-8C82-D9FCEBD7C051}"/>
    <hyperlink ref="N102" r:id="rId101" xr:uid="{AA8B982B-F3F2-4DD4-8815-0D7E94F0E073}"/>
    <hyperlink ref="N103" r:id="rId102" xr:uid="{E2E6D6A1-ACEA-4857-9AA8-3F12B9DA3123}"/>
    <hyperlink ref="N104" r:id="rId103" xr:uid="{E78A3A28-7115-4533-900E-6762C8A6E2B9}"/>
    <hyperlink ref="N105" r:id="rId104" xr:uid="{467B30C1-DCDC-4C27-B4C9-E415CC254885}"/>
    <hyperlink ref="N106" r:id="rId105" xr:uid="{CFCB2C9A-DE0F-4DB2-B3FD-7B504420FF0D}"/>
    <hyperlink ref="N107" r:id="rId106" xr:uid="{2BC8ECD0-31E4-4D73-AA71-B55A14C0A3F4}"/>
    <hyperlink ref="N108" r:id="rId107" xr:uid="{5340AB54-0400-4592-A06B-12A0C0225690}"/>
    <hyperlink ref="N109" r:id="rId108" xr:uid="{4602A059-9488-45CB-AD05-7A2099B35288}"/>
    <hyperlink ref="N110" r:id="rId109" xr:uid="{F11B3FE1-B535-44A7-A350-69F70D10136D}"/>
    <hyperlink ref="N111" r:id="rId110" xr:uid="{B7583494-71EC-49DE-8AD8-D8E4C09082F6}"/>
    <hyperlink ref="N112" r:id="rId111" xr:uid="{2DDBD5DE-C55D-41F8-B593-DC617373B6FC}"/>
    <hyperlink ref="N113" r:id="rId112" xr:uid="{105522BF-87AE-405F-8951-3F2C1D2D2739}"/>
    <hyperlink ref="N114" r:id="rId113" xr:uid="{0346E398-637C-44A4-9579-AAB8E7B0B79E}"/>
    <hyperlink ref="N115" r:id="rId114" xr:uid="{8537B80B-23E4-44AC-B1CC-9FD7A74A89F1}"/>
    <hyperlink ref="N116" r:id="rId115" xr:uid="{6AA628FD-AD7E-4A57-91D4-B0C8EC2037E9}"/>
    <hyperlink ref="N117" r:id="rId116" xr:uid="{88B90F6E-C615-4A74-9C72-B80B862EC653}"/>
    <hyperlink ref="N118" r:id="rId117" xr:uid="{ADDBE3AB-D8D5-478D-9F58-F64B6406BC6C}"/>
    <hyperlink ref="N119" r:id="rId118" xr:uid="{EB2ED0EB-BCF6-4274-84E6-D73BEDC0C2B8}"/>
    <hyperlink ref="N120" r:id="rId119" xr:uid="{D2B16C5C-4708-45A2-BA14-AED991AE2D36}"/>
    <hyperlink ref="N121" r:id="rId120" xr:uid="{6F916B27-C6CA-4905-96C3-4CDA6A81FEEC}"/>
    <hyperlink ref="N122" r:id="rId121" xr:uid="{00E5D4C2-CEDE-4D0D-A4EB-A294400A1D89}"/>
    <hyperlink ref="N123" r:id="rId122" xr:uid="{1A5F192F-074C-4415-9D06-1678AC2BC6D4}"/>
    <hyperlink ref="N124" r:id="rId123" xr:uid="{B2214B37-312D-45CB-8D49-A6EDA74AB395}"/>
    <hyperlink ref="N125" r:id="rId124" xr:uid="{736513A8-DA75-4698-A686-CE9CB9825BB4}"/>
    <hyperlink ref="N126" r:id="rId125" xr:uid="{C7F432CD-2EBB-44E6-811D-46053766F7D5}"/>
    <hyperlink ref="N127" r:id="rId126" xr:uid="{C4EF2952-0D59-4A9F-9B88-30F6A367A16F}"/>
    <hyperlink ref="N128" r:id="rId127" xr:uid="{0A728922-3295-4C09-8FC9-81CD044E8EFA}"/>
    <hyperlink ref="N129" r:id="rId128" xr:uid="{0117F96A-6907-4374-B4A8-3B060AC6A483}"/>
    <hyperlink ref="N130" r:id="rId129" xr:uid="{47192C3A-77EF-4C0C-ACA9-1C9A8BB53DA6}"/>
    <hyperlink ref="N131" r:id="rId130" xr:uid="{D1E3E297-A5C3-4345-88CA-C281E6D6BF73}"/>
    <hyperlink ref="N132" r:id="rId131" xr:uid="{6C438ED5-65AB-4651-AFEB-E50305CD023B}"/>
    <hyperlink ref="N133" r:id="rId132" xr:uid="{D5101E44-4F1E-4412-B208-E62B33BD5BE5}"/>
    <hyperlink ref="N134" r:id="rId133" xr:uid="{A01A55E9-ADB5-4659-9A08-335C99EF468E}"/>
    <hyperlink ref="N135" r:id="rId134" xr:uid="{06AA8F1B-C1C5-451A-BA23-033F6AB751A7}"/>
    <hyperlink ref="N136" r:id="rId135" xr:uid="{A6E7472F-D422-40AE-B29C-A733C2547919}"/>
    <hyperlink ref="N137" r:id="rId136" xr:uid="{76084085-ED46-4715-BBE7-9E862C7A6DC9}"/>
    <hyperlink ref="N138" r:id="rId137" xr:uid="{D8867749-73B7-4EB5-9615-A3D336139FB6}"/>
    <hyperlink ref="N139" r:id="rId138" xr:uid="{C83EF3D4-85E5-428C-8A78-C17043473487}"/>
    <hyperlink ref="N140" r:id="rId139" xr:uid="{EF94A260-2E8E-4AA5-816E-87575DEDA633}"/>
    <hyperlink ref="N141" r:id="rId140" xr:uid="{208A00D3-4058-4F1A-9444-B17F83380480}"/>
    <hyperlink ref="N142" r:id="rId141" xr:uid="{7F8A34CE-8039-4F57-AFC9-AFD40970FF18}"/>
    <hyperlink ref="N143" r:id="rId142" xr:uid="{F962401B-C96F-41C9-8949-24D28A787A3E}"/>
    <hyperlink ref="N144" r:id="rId143" xr:uid="{61969656-B2E5-48E8-AF59-794BE2CCED52}"/>
    <hyperlink ref="N145" r:id="rId144" xr:uid="{10531D89-1C94-4381-8D91-FB536A8E933D}"/>
    <hyperlink ref="N146" r:id="rId145" xr:uid="{83E89726-73E6-405B-B96E-DA40F925807F}"/>
    <hyperlink ref="N147" r:id="rId146" xr:uid="{F8DA0E67-F0FB-4EEB-BCC9-BF90BF2C8DF0}"/>
    <hyperlink ref="N148" r:id="rId147" xr:uid="{9FED20E3-ADFC-4DBA-A8FD-3E233919D21C}"/>
    <hyperlink ref="N149" r:id="rId148" xr:uid="{80BAA1E9-80DD-4731-A110-F45E54F263A0}"/>
    <hyperlink ref="N150" r:id="rId149" xr:uid="{6CB4DEBF-8E5F-4036-B782-F184610A0775}"/>
    <hyperlink ref="N151" r:id="rId150" xr:uid="{634F6D04-6CB9-4C4B-B15C-CC7FABE0B395}"/>
    <hyperlink ref="N152" r:id="rId151" xr:uid="{8B41CBF3-31A4-47D5-9AB2-C9610884FCF7}"/>
    <hyperlink ref="N153" r:id="rId152" xr:uid="{EE8D8502-B319-4469-9548-43B18B840644}"/>
    <hyperlink ref="N154" r:id="rId153" xr:uid="{908F9560-DD23-45C4-8EE8-C762718FDC17}"/>
    <hyperlink ref="N155" r:id="rId154" xr:uid="{76D7CE15-848A-4DF6-AC3F-2E473312D629}"/>
    <hyperlink ref="N156" r:id="rId155" xr:uid="{E941E5E4-D15D-46B7-8DAF-C5F3ABA1CC59}"/>
    <hyperlink ref="N157" r:id="rId156" xr:uid="{7BA182FF-1280-4224-978E-4B441C635DC0}"/>
    <hyperlink ref="N158" r:id="rId157" xr:uid="{2069DA3F-4C86-4E72-A020-7DFD0D7690F1}"/>
    <hyperlink ref="N159" r:id="rId158" xr:uid="{411CEBF0-4673-41BD-9E74-6ADD88FC6547}"/>
    <hyperlink ref="N160" r:id="rId159" xr:uid="{C49C205A-0D48-477E-9B71-1DDA2E26C9D9}"/>
    <hyperlink ref="N161" r:id="rId160" xr:uid="{E78EEDD3-ADCE-4574-B2A7-7224CAD2D11A}"/>
    <hyperlink ref="N162" r:id="rId161" xr:uid="{0B25A71D-E4D5-414B-83BB-EB6CC1487842}"/>
    <hyperlink ref="N163" r:id="rId162" xr:uid="{A1EC4F48-69B1-4436-A98F-D6D1CBBF980D}"/>
    <hyperlink ref="N164" r:id="rId163" xr:uid="{B3DF255A-59E7-4A6D-8DC4-4B1A8801834F}"/>
    <hyperlink ref="N165" r:id="rId164" xr:uid="{F57299D7-6488-4A3C-83F8-22A578141B1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B8553-EFCA-4E8C-A806-FB81D2293114}">
  <dimension ref="A1:O525"/>
  <sheetViews>
    <sheetView workbookViewId="0">
      <pane ySplit="1" topLeftCell="A2" activePane="bottomLeft" state="frozen"/>
      <selection pane="bottomLeft" activeCell="E7" sqref="E7"/>
    </sheetView>
  </sheetViews>
  <sheetFormatPr defaultColWidth="4.6640625" defaultRowHeight="16.2"/>
  <cols>
    <col min="1" max="1" width="5.44140625" style="245" customWidth="1"/>
    <col min="2" max="2" width="8" style="245" customWidth="1"/>
    <col min="3" max="3" width="12.88671875" style="245" customWidth="1"/>
    <col min="4" max="5" width="14" style="245" customWidth="1"/>
    <col min="6" max="6" width="48.6640625" style="246" customWidth="1"/>
    <col min="7" max="8" width="5" style="245" customWidth="1"/>
    <col min="9" max="9" width="10.77734375" style="247" customWidth="1"/>
    <col min="10" max="10" width="8.21875" style="247" customWidth="1"/>
    <col min="11" max="11" width="6.77734375" style="245" customWidth="1"/>
    <col min="12" max="12" width="11.21875" style="245" customWidth="1"/>
    <col min="13" max="13" width="11.44140625" style="248" customWidth="1"/>
    <col min="14" max="14" width="17.6640625" style="245" customWidth="1"/>
    <col min="15" max="15" width="4.6640625" style="249"/>
  </cols>
  <sheetData>
    <row r="1" spans="1:15" s="239" customFormat="1" ht="27">
      <c r="A1" s="234" t="s">
        <v>10700</v>
      </c>
      <c r="B1" s="234" t="s">
        <v>9183</v>
      </c>
      <c r="C1" s="234" t="s">
        <v>9915</v>
      </c>
      <c r="D1" s="235" t="s">
        <v>9916</v>
      </c>
      <c r="E1" s="235" t="s">
        <v>9917</v>
      </c>
      <c r="F1" s="236" t="s">
        <v>9918</v>
      </c>
      <c r="G1" s="234" t="s">
        <v>9919</v>
      </c>
      <c r="H1" s="234" t="s">
        <v>9920</v>
      </c>
      <c r="I1" s="234" t="s">
        <v>9921</v>
      </c>
      <c r="J1" s="234" t="s">
        <v>9922</v>
      </c>
      <c r="K1" s="234" t="s">
        <v>9923</v>
      </c>
      <c r="L1" s="234" t="s">
        <v>9924</v>
      </c>
      <c r="M1" s="234" t="s">
        <v>10701</v>
      </c>
      <c r="N1" s="237" t="s">
        <v>10702</v>
      </c>
      <c r="O1" s="238"/>
    </row>
    <row r="2" spans="1:15" ht="26.4">
      <c r="A2" s="230">
        <v>1</v>
      </c>
      <c r="B2" s="240" t="s">
        <v>5071</v>
      </c>
      <c r="C2" s="240" t="s">
        <v>9184</v>
      </c>
      <c r="D2" s="241" t="s">
        <v>10703</v>
      </c>
      <c r="E2" s="241" t="s">
        <v>10704</v>
      </c>
      <c r="F2" s="242" t="s">
        <v>10705</v>
      </c>
      <c r="G2" s="243">
        <v>1</v>
      </c>
      <c r="H2" s="243">
        <v>1</v>
      </c>
      <c r="I2" s="240" t="s">
        <v>10706</v>
      </c>
      <c r="J2" s="240" t="s">
        <v>569</v>
      </c>
      <c r="K2" s="243">
        <v>2018</v>
      </c>
      <c r="L2" s="240" t="s">
        <v>9186</v>
      </c>
      <c r="M2" s="242"/>
      <c r="N2" s="244" t="s">
        <v>10707</v>
      </c>
      <c r="O2"/>
    </row>
    <row r="3" spans="1:15" ht="26.4">
      <c r="A3" s="230">
        <v>2</v>
      </c>
      <c r="B3" s="240" t="s">
        <v>5071</v>
      </c>
      <c r="C3" s="240" t="s">
        <v>9184</v>
      </c>
      <c r="D3" s="241" t="s">
        <v>10708</v>
      </c>
      <c r="E3" s="241" t="s">
        <v>10709</v>
      </c>
      <c r="F3" s="242" t="s">
        <v>10710</v>
      </c>
      <c r="G3" s="243">
        <v>1</v>
      </c>
      <c r="H3" s="243">
        <v>1</v>
      </c>
      <c r="I3" s="240" t="s">
        <v>10711</v>
      </c>
      <c r="J3" s="240" t="s">
        <v>569</v>
      </c>
      <c r="K3" s="243">
        <v>2018</v>
      </c>
      <c r="L3" s="240" t="s">
        <v>9186</v>
      </c>
      <c r="M3" s="242"/>
      <c r="N3" s="244" t="s">
        <v>10712</v>
      </c>
      <c r="O3"/>
    </row>
    <row r="4" spans="1:15" ht="26.4">
      <c r="A4" s="230">
        <v>3</v>
      </c>
      <c r="B4" s="240" t="s">
        <v>5071</v>
      </c>
      <c r="C4" s="240" t="s">
        <v>9184</v>
      </c>
      <c r="D4" s="241" t="s">
        <v>10713</v>
      </c>
      <c r="E4" s="241" t="s">
        <v>10714</v>
      </c>
      <c r="F4" s="242" t="s">
        <v>10715</v>
      </c>
      <c r="G4" s="243">
        <v>1</v>
      </c>
      <c r="H4" s="243">
        <v>1</v>
      </c>
      <c r="I4" s="240" t="s">
        <v>2218</v>
      </c>
      <c r="J4" s="240" t="s">
        <v>569</v>
      </c>
      <c r="K4" s="243">
        <v>2018</v>
      </c>
      <c r="L4" s="240" t="s">
        <v>9186</v>
      </c>
      <c r="M4" s="242"/>
      <c r="N4" s="244" t="s">
        <v>10716</v>
      </c>
      <c r="O4"/>
    </row>
    <row r="5" spans="1:15">
      <c r="A5" s="230">
        <v>4</v>
      </c>
      <c r="B5" s="240" t="s">
        <v>5071</v>
      </c>
      <c r="C5" s="240" t="s">
        <v>9184</v>
      </c>
      <c r="D5" s="241" t="s">
        <v>10717</v>
      </c>
      <c r="E5" s="241" t="s">
        <v>10718</v>
      </c>
      <c r="F5" s="242" t="s">
        <v>10719</v>
      </c>
      <c r="G5" s="243">
        <v>1</v>
      </c>
      <c r="H5" s="243">
        <v>1</v>
      </c>
      <c r="I5" s="240" t="s">
        <v>8517</v>
      </c>
      <c r="J5" s="240" t="s">
        <v>569</v>
      </c>
      <c r="K5" s="243">
        <v>2018</v>
      </c>
      <c r="L5" s="240" t="s">
        <v>9186</v>
      </c>
      <c r="M5" s="242"/>
      <c r="N5" s="244" t="s">
        <v>10720</v>
      </c>
      <c r="O5"/>
    </row>
    <row r="6" spans="1:15" ht="26.4">
      <c r="A6" s="230">
        <v>5</v>
      </c>
      <c r="B6" s="240" t="s">
        <v>5071</v>
      </c>
      <c r="C6" s="240" t="s">
        <v>9184</v>
      </c>
      <c r="D6" s="241" t="s">
        <v>10721</v>
      </c>
      <c r="E6" s="241" t="s">
        <v>10722</v>
      </c>
      <c r="F6" s="242" t="s">
        <v>10723</v>
      </c>
      <c r="G6" s="243">
        <v>1</v>
      </c>
      <c r="H6" s="243">
        <v>1</v>
      </c>
      <c r="I6" s="240" t="s">
        <v>10724</v>
      </c>
      <c r="J6" s="240" t="s">
        <v>569</v>
      </c>
      <c r="K6" s="243">
        <v>2020</v>
      </c>
      <c r="L6" s="240" t="s">
        <v>9186</v>
      </c>
      <c r="M6" s="242"/>
      <c r="N6" s="244" t="s">
        <v>10725</v>
      </c>
      <c r="O6"/>
    </row>
    <row r="7" spans="1:15" ht="26.4">
      <c r="A7" s="230">
        <v>6</v>
      </c>
      <c r="B7" s="240" t="s">
        <v>5071</v>
      </c>
      <c r="C7" s="240" t="s">
        <v>9243</v>
      </c>
      <c r="D7" s="241" t="s">
        <v>10726</v>
      </c>
      <c r="E7" s="241" t="s">
        <v>10727</v>
      </c>
      <c r="F7" s="242" t="s">
        <v>10728</v>
      </c>
      <c r="G7" s="243">
        <v>1</v>
      </c>
      <c r="H7" s="243">
        <v>1</v>
      </c>
      <c r="I7" s="240" t="s">
        <v>10729</v>
      </c>
      <c r="J7" s="240" t="s">
        <v>569</v>
      </c>
      <c r="K7" s="243">
        <v>2020</v>
      </c>
      <c r="L7" s="240" t="s">
        <v>9186</v>
      </c>
      <c r="M7" s="242"/>
      <c r="N7" s="244" t="s">
        <v>10730</v>
      </c>
      <c r="O7"/>
    </row>
    <row r="8" spans="1:15" ht="26.4">
      <c r="A8" s="230">
        <v>7</v>
      </c>
      <c r="B8" s="240" t="s">
        <v>5071</v>
      </c>
      <c r="C8" s="240" t="s">
        <v>9184</v>
      </c>
      <c r="D8" s="241" t="s">
        <v>10731</v>
      </c>
      <c r="E8" s="241" t="s">
        <v>10732</v>
      </c>
      <c r="F8" s="242" t="s">
        <v>10733</v>
      </c>
      <c r="G8" s="243">
        <v>1</v>
      </c>
      <c r="H8" s="243">
        <v>1</v>
      </c>
      <c r="I8" s="240" t="s">
        <v>10734</v>
      </c>
      <c r="J8" s="240" t="s">
        <v>569</v>
      </c>
      <c r="K8" s="243">
        <v>2020</v>
      </c>
      <c r="L8" s="240" t="s">
        <v>9186</v>
      </c>
      <c r="M8" s="242"/>
      <c r="N8" s="244" t="s">
        <v>10735</v>
      </c>
      <c r="O8"/>
    </row>
    <row r="9" spans="1:15" ht="26.4">
      <c r="A9" s="230">
        <v>8</v>
      </c>
      <c r="B9" s="240" t="s">
        <v>5071</v>
      </c>
      <c r="C9" s="240" t="s">
        <v>9184</v>
      </c>
      <c r="D9" s="241" t="s">
        <v>10736</v>
      </c>
      <c r="E9" s="241" t="s">
        <v>10737</v>
      </c>
      <c r="F9" s="242" t="s">
        <v>10738</v>
      </c>
      <c r="G9" s="243">
        <v>1</v>
      </c>
      <c r="H9" s="243">
        <v>1</v>
      </c>
      <c r="I9" s="240" t="s">
        <v>10739</v>
      </c>
      <c r="J9" s="240" t="s">
        <v>569</v>
      </c>
      <c r="K9" s="243">
        <v>2020</v>
      </c>
      <c r="L9" s="240" t="s">
        <v>9186</v>
      </c>
      <c r="M9" s="242"/>
      <c r="N9" s="244" t="s">
        <v>10740</v>
      </c>
      <c r="O9"/>
    </row>
    <row r="10" spans="1:15" ht="26.4">
      <c r="A10" s="230">
        <v>9</v>
      </c>
      <c r="B10" s="240" t="s">
        <v>5071</v>
      </c>
      <c r="C10" s="240" t="s">
        <v>9205</v>
      </c>
      <c r="D10" s="241" t="s">
        <v>10741</v>
      </c>
      <c r="E10" s="241" t="s">
        <v>10742</v>
      </c>
      <c r="F10" s="242" t="s">
        <v>10743</v>
      </c>
      <c r="G10" s="243">
        <v>1</v>
      </c>
      <c r="H10" s="243">
        <v>1</v>
      </c>
      <c r="I10" s="240" t="s">
        <v>10744</v>
      </c>
      <c r="J10" s="240" t="s">
        <v>568</v>
      </c>
      <c r="K10" s="243">
        <v>2020</v>
      </c>
      <c r="L10" s="240" t="s">
        <v>9186</v>
      </c>
      <c r="M10" s="242"/>
      <c r="N10" s="244" t="s">
        <v>10745</v>
      </c>
      <c r="O10"/>
    </row>
    <row r="11" spans="1:15">
      <c r="A11" s="230">
        <v>10</v>
      </c>
      <c r="B11" s="240" t="s">
        <v>5071</v>
      </c>
      <c r="C11" s="240" t="s">
        <v>10746</v>
      </c>
      <c r="D11" s="241" t="s">
        <v>10747</v>
      </c>
      <c r="E11" s="241" t="s">
        <v>10748</v>
      </c>
      <c r="F11" s="242" t="s">
        <v>10749</v>
      </c>
      <c r="G11" s="243">
        <v>1</v>
      </c>
      <c r="H11" s="243">
        <v>1</v>
      </c>
      <c r="I11" s="240" t="s">
        <v>3446</v>
      </c>
      <c r="J11" s="240" t="s">
        <v>569</v>
      </c>
      <c r="K11" s="243">
        <v>2021</v>
      </c>
      <c r="L11" s="240" t="s">
        <v>9186</v>
      </c>
      <c r="M11" s="242"/>
      <c r="N11" s="244" t="s">
        <v>10750</v>
      </c>
      <c r="O11"/>
    </row>
    <row r="12" spans="1:15" ht="26.4">
      <c r="A12" s="230">
        <v>11</v>
      </c>
      <c r="B12" s="240" t="s">
        <v>5071</v>
      </c>
      <c r="C12" s="240" t="s">
        <v>9243</v>
      </c>
      <c r="D12" s="241" t="s">
        <v>10751</v>
      </c>
      <c r="E12" s="241" t="s">
        <v>10752</v>
      </c>
      <c r="F12" s="242" t="s">
        <v>10753</v>
      </c>
      <c r="G12" s="243">
        <v>1</v>
      </c>
      <c r="H12" s="243">
        <v>1</v>
      </c>
      <c r="I12" s="240" t="s">
        <v>10754</v>
      </c>
      <c r="J12" s="240" t="s">
        <v>569</v>
      </c>
      <c r="K12" s="243">
        <v>2021</v>
      </c>
      <c r="L12" s="240" t="s">
        <v>9186</v>
      </c>
      <c r="M12" s="242"/>
      <c r="N12" s="244" t="s">
        <v>10755</v>
      </c>
      <c r="O12"/>
    </row>
    <row r="13" spans="1:15" ht="26.4">
      <c r="A13" s="230">
        <v>12</v>
      </c>
      <c r="B13" s="240" t="s">
        <v>5071</v>
      </c>
      <c r="C13" s="240" t="s">
        <v>9184</v>
      </c>
      <c r="D13" s="241" t="s">
        <v>10756</v>
      </c>
      <c r="E13" s="241" t="s">
        <v>10757</v>
      </c>
      <c r="F13" s="242" t="s">
        <v>10758</v>
      </c>
      <c r="G13" s="243">
        <v>1</v>
      </c>
      <c r="H13" s="243">
        <v>1</v>
      </c>
      <c r="I13" s="240" t="s">
        <v>5208</v>
      </c>
      <c r="J13" s="240" t="s">
        <v>569</v>
      </c>
      <c r="K13" s="243">
        <v>2021</v>
      </c>
      <c r="L13" s="240" t="s">
        <v>9186</v>
      </c>
      <c r="M13" s="242"/>
      <c r="N13" s="244" t="s">
        <v>10759</v>
      </c>
      <c r="O13"/>
    </row>
    <row r="14" spans="1:15" ht="26.4">
      <c r="A14" s="230">
        <v>13</v>
      </c>
      <c r="B14" s="240" t="s">
        <v>5071</v>
      </c>
      <c r="C14" s="240" t="s">
        <v>9205</v>
      </c>
      <c r="D14" s="241" t="s">
        <v>10760</v>
      </c>
      <c r="E14" s="241" t="s">
        <v>10761</v>
      </c>
      <c r="F14" s="242" t="s">
        <v>10762</v>
      </c>
      <c r="G14" s="243">
        <v>1</v>
      </c>
      <c r="H14" s="243">
        <v>1</v>
      </c>
      <c r="I14" s="240" t="s">
        <v>10763</v>
      </c>
      <c r="J14" s="240" t="s">
        <v>568</v>
      </c>
      <c r="K14" s="243">
        <v>2021</v>
      </c>
      <c r="L14" s="240" t="s">
        <v>9186</v>
      </c>
      <c r="M14" s="242"/>
      <c r="N14" s="244" t="s">
        <v>10764</v>
      </c>
      <c r="O14"/>
    </row>
    <row r="15" spans="1:15" ht="26.4">
      <c r="A15" s="230">
        <v>14</v>
      </c>
      <c r="B15" s="240" t="s">
        <v>5071</v>
      </c>
      <c r="C15" s="240" t="s">
        <v>9243</v>
      </c>
      <c r="D15" s="241" t="s">
        <v>10765</v>
      </c>
      <c r="E15" s="241" t="s">
        <v>10766</v>
      </c>
      <c r="F15" s="242" t="s">
        <v>10767</v>
      </c>
      <c r="G15" s="243">
        <v>1</v>
      </c>
      <c r="H15" s="243">
        <v>1</v>
      </c>
      <c r="I15" s="240" t="s">
        <v>8654</v>
      </c>
      <c r="J15" s="240" t="s">
        <v>569</v>
      </c>
      <c r="K15" s="243">
        <v>2021</v>
      </c>
      <c r="L15" s="240" t="s">
        <v>9186</v>
      </c>
      <c r="M15" s="242"/>
      <c r="N15" s="244" t="s">
        <v>10768</v>
      </c>
      <c r="O15"/>
    </row>
    <row r="16" spans="1:15" ht="26.4">
      <c r="A16" s="230">
        <v>15</v>
      </c>
      <c r="B16" s="240" t="s">
        <v>5071</v>
      </c>
      <c r="C16" s="240" t="s">
        <v>9188</v>
      </c>
      <c r="D16" s="241" t="s">
        <v>10769</v>
      </c>
      <c r="E16" s="241" t="s">
        <v>10770</v>
      </c>
      <c r="F16" s="242" t="s">
        <v>10771</v>
      </c>
      <c r="G16" s="243">
        <v>1</v>
      </c>
      <c r="H16" s="243">
        <v>1</v>
      </c>
      <c r="I16" s="240" t="s">
        <v>10772</v>
      </c>
      <c r="J16" s="240" t="s">
        <v>568</v>
      </c>
      <c r="K16" s="243">
        <v>2021</v>
      </c>
      <c r="L16" s="240" t="s">
        <v>9186</v>
      </c>
      <c r="M16" s="242"/>
      <c r="N16" s="244" t="s">
        <v>10773</v>
      </c>
      <c r="O16"/>
    </row>
    <row r="17" spans="1:15" ht="26.4">
      <c r="A17" s="230">
        <v>16</v>
      </c>
      <c r="B17" s="240" t="s">
        <v>5071</v>
      </c>
      <c r="C17" s="240" t="s">
        <v>9205</v>
      </c>
      <c r="D17" s="241" t="s">
        <v>10774</v>
      </c>
      <c r="E17" s="241" t="s">
        <v>10775</v>
      </c>
      <c r="F17" s="242" t="s">
        <v>10776</v>
      </c>
      <c r="G17" s="243">
        <v>1</v>
      </c>
      <c r="H17" s="243">
        <v>1</v>
      </c>
      <c r="I17" s="240" t="s">
        <v>10777</v>
      </c>
      <c r="J17" s="240" t="s">
        <v>568</v>
      </c>
      <c r="K17" s="243">
        <v>2021</v>
      </c>
      <c r="L17" s="240" t="s">
        <v>9186</v>
      </c>
      <c r="M17" s="242"/>
      <c r="N17" s="244" t="s">
        <v>10778</v>
      </c>
      <c r="O17"/>
    </row>
    <row r="18" spans="1:15" ht="26.4">
      <c r="A18" s="230">
        <v>17</v>
      </c>
      <c r="B18" s="240" t="s">
        <v>5071</v>
      </c>
      <c r="C18" s="240" t="s">
        <v>9201</v>
      </c>
      <c r="D18" s="241" t="s">
        <v>10779</v>
      </c>
      <c r="E18" s="241" t="s">
        <v>10780</v>
      </c>
      <c r="F18" s="242" t="s">
        <v>10781</v>
      </c>
      <c r="G18" s="243">
        <v>1</v>
      </c>
      <c r="H18" s="243">
        <v>1</v>
      </c>
      <c r="I18" s="240" t="s">
        <v>10782</v>
      </c>
      <c r="J18" s="240" t="s">
        <v>568</v>
      </c>
      <c r="K18" s="243">
        <v>2021</v>
      </c>
      <c r="L18" s="240" t="s">
        <v>9186</v>
      </c>
      <c r="M18" s="242"/>
      <c r="N18" s="244" t="s">
        <v>10783</v>
      </c>
      <c r="O18"/>
    </row>
    <row r="19" spans="1:15">
      <c r="A19" s="230">
        <v>18</v>
      </c>
      <c r="B19" s="240" t="s">
        <v>5071</v>
      </c>
      <c r="C19" s="240" t="s">
        <v>9184</v>
      </c>
      <c r="D19" s="241" t="s">
        <v>10784</v>
      </c>
      <c r="E19" s="241" t="s">
        <v>10785</v>
      </c>
      <c r="F19" s="242" t="s">
        <v>10786</v>
      </c>
      <c r="G19" s="243">
        <v>1</v>
      </c>
      <c r="H19" s="243">
        <v>1</v>
      </c>
      <c r="I19" s="240" t="s">
        <v>8141</v>
      </c>
      <c r="J19" s="240" t="s">
        <v>569</v>
      </c>
      <c r="K19" s="243">
        <v>2021</v>
      </c>
      <c r="L19" s="240" t="s">
        <v>9186</v>
      </c>
      <c r="M19" s="242"/>
      <c r="N19" s="244" t="s">
        <v>10787</v>
      </c>
      <c r="O19"/>
    </row>
    <row r="20" spans="1:15">
      <c r="A20" s="230">
        <v>19</v>
      </c>
      <c r="B20" s="240" t="s">
        <v>5071</v>
      </c>
      <c r="C20" s="240" t="s">
        <v>9184</v>
      </c>
      <c r="D20" s="241" t="s">
        <v>10788</v>
      </c>
      <c r="E20" s="241" t="s">
        <v>10789</v>
      </c>
      <c r="F20" s="242" t="s">
        <v>10790</v>
      </c>
      <c r="G20" s="243">
        <v>1</v>
      </c>
      <c r="H20" s="243">
        <v>1</v>
      </c>
      <c r="I20" s="240" t="s">
        <v>10791</v>
      </c>
      <c r="J20" s="240" t="s">
        <v>569</v>
      </c>
      <c r="K20" s="243">
        <v>2021</v>
      </c>
      <c r="L20" s="240" t="s">
        <v>9186</v>
      </c>
      <c r="M20" s="242"/>
      <c r="N20" s="244" t="s">
        <v>10792</v>
      </c>
      <c r="O20"/>
    </row>
    <row r="21" spans="1:15" ht="26.4">
      <c r="A21" s="230">
        <v>20</v>
      </c>
      <c r="B21" s="240" t="s">
        <v>5071</v>
      </c>
      <c r="C21" s="240" t="s">
        <v>9205</v>
      </c>
      <c r="D21" s="241" t="s">
        <v>10793</v>
      </c>
      <c r="E21" s="241" t="s">
        <v>10794</v>
      </c>
      <c r="F21" s="242" t="s">
        <v>10795</v>
      </c>
      <c r="G21" s="243">
        <v>1</v>
      </c>
      <c r="H21" s="243">
        <v>1</v>
      </c>
      <c r="I21" s="240" t="s">
        <v>10796</v>
      </c>
      <c r="J21" s="240" t="s">
        <v>568</v>
      </c>
      <c r="K21" s="243">
        <v>2021</v>
      </c>
      <c r="L21" s="240" t="s">
        <v>9186</v>
      </c>
      <c r="M21" s="242"/>
      <c r="N21" s="244" t="s">
        <v>10797</v>
      </c>
      <c r="O21"/>
    </row>
    <row r="22" spans="1:15" ht="26.4">
      <c r="A22" s="230">
        <v>21</v>
      </c>
      <c r="B22" s="240" t="s">
        <v>5071</v>
      </c>
      <c r="C22" s="240" t="s">
        <v>9243</v>
      </c>
      <c r="D22" s="241" t="s">
        <v>10798</v>
      </c>
      <c r="E22" s="241" t="s">
        <v>10799</v>
      </c>
      <c r="F22" s="242" t="s">
        <v>10800</v>
      </c>
      <c r="G22" s="243">
        <v>1</v>
      </c>
      <c r="H22" s="243">
        <v>1</v>
      </c>
      <c r="I22" s="240" t="s">
        <v>3446</v>
      </c>
      <c r="J22" s="240" t="s">
        <v>569</v>
      </c>
      <c r="K22" s="243">
        <v>2021</v>
      </c>
      <c r="L22" s="240" t="s">
        <v>9186</v>
      </c>
      <c r="M22" s="242"/>
      <c r="N22" s="244" t="s">
        <v>10801</v>
      </c>
      <c r="O22"/>
    </row>
    <row r="23" spans="1:15" ht="26.4">
      <c r="A23" s="230">
        <v>22</v>
      </c>
      <c r="B23" s="240" t="s">
        <v>5071</v>
      </c>
      <c r="C23" s="240" t="s">
        <v>9205</v>
      </c>
      <c r="D23" s="241" t="s">
        <v>10802</v>
      </c>
      <c r="E23" s="241" t="s">
        <v>10803</v>
      </c>
      <c r="F23" s="242" t="s">
        <v>10804</v>
      </c>
      <c r="G23" s="243">
        <v>1</v>
      </c>
      <c r="H23" s="243">
        <v>1</v>
      </c>
      <c r="I23" s="240" t="s">
        <v>10805</v>
      </c>
      <c r="J23" s="240" t="s">
        <v>568</v>
      </c>
      <c r="K23" s="243">
        <v>2022</v>
      </c>
      <c r="L23" s="240" t="s">
        <v>9186</v>
      </c>
      <c r="M23" s="242"/>
      <c r="N23" s="244" t="s">
        <v>10806</v>
      </c>
      <c r="O23"/>
    </row>
    <row r="24" spans="1:15" ht="26.4">
      <c r="A24" s="230">
        <v>23</v>
      </c>
      <c r="B24" s="240" t="s">
        <v>5071</v>
      </c>
      <c r="C24" s="240" t="s">
        <v>9201</v>
      </c>
      <c r="D24" s="241" t="s">
        <v>10807</v>
      </c>
      <c r="E24" s="241" t="s">
        <v>10808</v>
      </c>
      <c r="F24" s="242" t="s">
        <v>10809</v>
      </c>
      <c r="G24" s="243">
        <v>1</v>
      </c>
      <c r="H24" s="243">
        <v>1</v>
      </c>
      <c r="I24" s="240" t="s">
        <v>10810</v>
      </c>
      <c r="J24" s="240" t="s">
        <v>568</v>
      </c>
      <c r="K24" s="243">
        <v>2022</v>
      </c>
      <c r="L24" s="240" t="s">
        <v>9186</v>
      </c>
      <c r="M24" s="242"/>
      <c r="N24" s="244" t="s">
        <v>10811</v>
      </c>
      <c r="O24"/>
    </row>
    <row r="25" spans="1:15">
      <c r="A25" s="230">
        <v>24</v>
      </c>
      <c r="B25" s="240" t="s">
        <v>5071</v>
      </c>
      <c r="C25" s="240" t="s">
        <v>9184</v>
      </c>
      <c r="D25" s="241" t="s">
        <v>10812</v>
      </c>
      <c r="E25" s="241" t="s">
        <v>10813</v>
      </c>
      <c r="F25" s="242" t="s">
        <v>10814</v>
      </c>
      <c r="G25" s="243">
        <v>1</v>
      </c>
      <c r="H25" s="243">
        <v>1</v>
      </c>
      <c r="I25" s="240" t="s">
        <v>10815</v>
      </c>
      <c r="J25" s="240" t="s">
        <v>569</v>
      </c>
      <c r="K25" s="243">
        <v>2022</v>
      </c>
      <c r="L25" s="240" t="s">
        <v>9186</v>
      </c>
      <c r="M25" s="242"/>
      <c r="N25" s="244" t="s">
        <v>10816</v>
      </c>
      <c r="O25"/>
    </row>
    <row r="26" spans="1:15" ht="26.4">
      <c r="A26" s="230">
        <v>25</v>
      </c>
      <c r="B26" s="240" t="s">
        <v>5071</v>
      </c>
      <c r="C26" s="240" t="s">
        <v>9184</v>
      </c>
      <c r="D26" s="241" t="s">
        <v>10817</v>
      </c>
      <c r="E26" s="241" t="s">
        <v>10818</v>
      </c>
      <c r="F26" s="242" t="s">
        <v>10819</v>
      </c>
      <c r="G26" s="243">
        <v>1</v>
      </c>
      <c r="H26" s="243">
        <v>1</v>
      </c>
      <c r="I26" s="240" t="s">
        <v>5134</v>
      </c>
      <c r="J26" s="240" t="s">
        <v>569</v>
      </c>
      <c r="K26" s="243">
        <v>2022</v>
      </c>
      <c r="L26" s="240" t="s">
        <v>9186</v>
      </c>
      <c r="M26" s="242"/>
      <c r="N26" s="244" t="s">
        <v>10820</v>
      </c>
      <c r="O26"/>
    </row>
    <row r="27" spans="1:15">
      <c r="A27" s="230">
        <v>26</v>
      </c>
      <c r="B27" s="240" t="s">
        <v>5071</v>
      </c>
      <c r="C27" s="240" t="s">
        <v>9201</v>
      </c>
      <c r="D27" s="241" t="s">
        <v>10821</v>
      </c>
      <c r="E27" s="241" t="s">
        <v>10822</v>
      </c>
      <c r="F27" s="242" t="s">
        <v>10823</v>
      </c>
      <c r="G27" s="243">
        <v>1</v>
      </c>
      <c r="H27" s="243">
        <v>1</v>
      </c>
      <c r="I27" s="240" t="s">
        <v>10824</v>
      </c>
      <c r="J27" s="240" t="s">
        <v>568</v>
      </c>
      <c r="K27" s="243">
        <v>2022</v>
      </c>
      <c r="L27" s="240" t="s">
        <v>9186</v>
      </c>
      <c r="M27" s="242"/>
      <c r="N27" s="244" t="s">
        <v>10825</v>
      </c>
      <c r="O27"/>
    </row>
    <row r="28" spans="1:15" ht="26.4">
      <c r="A28" s="230">
        <v>27</v>
      </c>
      <c r="B28" s="240" t="s">
        <v>5071</v>
      </c>
      <c r="C28" s="240" t="s">
        <v>9243</v>
      </c>
      <c r="D28" s="241" t="s">
        <v>10826</v>
      </c>
      <c r="E28" s="241" t="s">
        <v>10827</v>
      </c>
      <c r="F28" s="242" t="s">
        <v>10828</v>
      </c>
      <c r="G28" s="243">
        <v>1</v>
      </c>
      <c r="H28" s="243">
        <v>1</v>
      </c>
      <c r="I28" s="240" t="s">
        <v>10829</v>
      </c>
      <c r="J28" s="240" t="s">
        <v>569</v>
      </c>
      <c r="K28" s="243">
        <v>2022</v>
      </c>
      <c r="L28" s="240" t="s">
        <v>9186</v>
      </c>
      <c r="M28" s="242"/>
      <c r="N28" s="244" t="s">
        <v>10830</v>
      </c>
      <c r="O28"/>
    </row>
    <row r="29" spans="1:15" ht="39.6">
      <c r="A29" s="230">
        <v>28</v>
      </c>
      <c r="B29" s="240" t="s">
        <v>5071</v>
      </c>
      <c r="C29" s="240" t="s">
        <v>9243</v>
      </c>
      <c r="D29" s="241" t="s">
        <v>10831</v>
      </c>
      <c r="E29" s="241" t="s">
        <v>10832</v>
      </c>
      <c r="F29" s="242" t="s">
        <v>10833</v>
      </c>
      <c r="G29" s="243">
        <v>1</v>
      </c>
      <c r="H29" s="243">
        <v>1</v>
      </c>
      <c r="I29" s="240" t="s">
        <v>10834</v>
      </c>
      <c r="J29" s="240" t="s">
        <v>569</v>
      </c>
      <c r="K29" s="243">
        <v>2022</v>
      </c>
      <c r="L29" s="240" t="s">
        <v>9186</v>
      </c>
      <c r="M29" s="242"/>
      <c r="N29" s="244" t="s">
        <v>10835</v>
      </c>
      <c r="O29"/>
    </row>
    <row r="30" spans="1:15" ht="26.4">
      <c r="A30" s="230">
        <v>29</v>
      </c>
      <c r="B30" s="240" t="s">
        <v>5071</v>
      </c>
      <c r="C30" s="240" t="s">
        <v>9184</v>
      </c>
      <c r="D30" s="241" t="s">
        <v>10836</v>
      </c>
      <c r="E30" s="241" t="s">
        <v>10837</v>
      </c>
      <c r="F30" s="242" t="s">
        <v>10838</v>
      </c>
      <c r="G30" s="243">
        <v>1</v>
      </c>
      <c r="H30" s="243">
        <v>1</v>
      </c>
      <c r="I30" s="240" t="s">
        <v>2218</v>
      </c>
      <c r="J30" s="240" t="s">
        <v>569</v>
      </c>
      <c r="K30" s="243">
        <v>2018</v>
      </c>
      <c r="L30" s="240" t="s">
        <v>9186</v>
      </c>
      <c r="M30" s="242"/>
      <c r="N30" s="244" t="s">
        <v>10839</v>
      </c>
      <c r="O30"/>
    </row>
    <row r="31" spans="1:15">
      <c r="A31" s="230">
        <v>30</v>
      </c>
      <c r="B31" s="240" t="s">
        <v>5071</v>
      </c>
      <c r="C31" s="240" t="s">
        <v>9184</v>
      </c>
      <c r="D31" s="241" t="s">
        <v>10840</v>
      </c>
      <c r="E31" s="241" t="s">
        <v>10841</v>
      </c>
      <c r="F31" s="242" t="s">
        <v>10842</v>
      </c>
      <c r="G31" s="243">
        <v>1</v>
      </c>
      <c r="H31" s="243">
        <v>1</v>
      </c>
      <c r="I31" s="240" t="s">
        <v>3446</v>
      </c>
      <c r="J31" s="240" t="s">
        <v>569</v>
      </c>
      <c r="K31" s="243">
        <v>2022</v>
      </c>
      <c r="L31" s="240" t="s">
        <v>9186</v>
      </c>
      <c r="M31" s="242"/>
      <c r="N31" s="244" t="s">
        <v>10843</v>
      </c>
      <c r="O31"/>
    </row>
    <row r="32" spans="1:15" ht="26.4">
      <c r="A32" s="230">
        <v>31</v>
      </c>
      <c r="B32" s="240" t="s">
        <v>5071</v>
      </c>
      <c r="C32" s="240" t="s">
        <v>9184</v>
      </c>
      <c r="D32" s="241" t="s">
        <v>10844</v>
      </c>
      <c r="E32" s="241" t="s">
        <v>10845</v>
      </c>
      <c r="F32" s="242" t="s">
        <v>10846</v>
      </c>
      <c r="G32" s="243">
        <v>1</v>
      </c>
      <c r="H32" s="243">
        <v>1</v>
      </c>
      <c r="I32" s="240" t="s">
        <v>10847</v>
      </c>
      <c r="J32" s="240" t="s">
        <v>569</v>
      </c>
      <c r="K32" s="243">
        <v>2022</v>
      </c>
      <c r="L32" s="240" t="s">
        <v>9186</v>
      </c>
      <c r="M32" s="242"/>
      <c r="N32" s="244" t="s">
        <v>10848</v>
      </c>
      <c r="O32"/>
    </row>
    <row r="33" spans="1:15" ht="26.4">
      <c r="A33" s="230">
        <v>32</v>
      </c>
      <c r="B33" s="240" t="s">
        <v>5071</v>
      </c>
      <c r="C33" s="240" t="s">
        <v>10849</v>
      </c>
      <c r="D33" s="241" t="s">
        <v>10850</v>
      </c>
      <c r="E33" s="241" t="s">
        <v>10851</v>
      </c>
      <c r="F33" s="242" t="s">
        <v>10852</v>
      </c>
      <c r="G33" s="243">
        <v>1</v>
      </c>
      <c r="H33" s="243">
        <v>1</v>
      </c>
      <c r="I33" s="240" t="s">
        <v>10853</v>
      </c>
      <c r="J33" s="240" t="s">
        <v>569</v>
      </c>
      <c r="K33" s="243">
        <v>2022</v>
      </c>
      <c r="L33" s="240" t="s">
        <v>9186</v>
      </c>
      <c r="M33" s="242"/>
      <c r="N33" s="244" t="s">
        <v>10854</v>
      </c>
      <c r="O33"/>
    </row>
    <row r="34" spans="1:15" ht="26.4">
      <c r="A34" s="230">
        <v>33</v>
      </c>
      <c r="B34" s="240" t="s">
        <v>5071</v>
      </c>
      <c r="C34" s="240" t="s">
        <v>9205</v>
      </c>
      <c r="D34" s="241" t="s">
        <v>10855</v>
      </c>
      <c r="E34" s="241" t="s">
        <v>10856</v>
      </c>
      <c r="F34" s="242" t="s">
        <v>10857</v>
      </c>
      <c r="G34" s="243">
        <v>1</v>
      </c>
      <c r="H34" s="243">
        <v>1</v>
      </c>
      <c r="I34" s="240" t="s">
        <v>10858</v>
      </c>
      <c r="J34" s="240" t="s">
        <v>568</v>
      </c>
      <c r="K34" s="243">
        <v>2022</v>
      </c>
      <c r="L34" s="240" t="s">
        <v>9186</v>
      </c>
      <c r="M34" s="242"/>
      <c r="N34" s="244" t="s">
        <v>10859</v>
      </c>
      <c r="O34"/>
    </row>
    <row r="35" spans="1:15" ht="26.4">
      <c r="A35" s="230">
        <v>34</v>
      </c>
      <c r="B35" s="240" t="s">
        <v>5071</v>
      </c>
      <c r="C35" s="240" t="s">
        <v>9205</v>
      </c>
      <c r="D35" s="241" t="s">
        <v>10860</v>
      </c>
      <c r="E35" s="241" t="s">
        <v>10861</v>
      </c>
      <c r="F35" s="242" t="s">
        <v>10862</v>
      </c>
      <c r="G35" s="243">
        <v>1</v>
      </c>
      <c r="H35" s="243">
        <v>1</v>
      </c>
      <c r="I35" s="240" t="s">
        <v>8415</v>
      </c>
      <c r="J35" s="240" t="s">
        <v>568</v>
      </c>
      <c r="K35" s="243">
        <v>2022</v>
      </c>
      <c r="L35" s="240" t="s">
        <v>9186</v>
      </c>
      <c r="M35" s="242"/>
      <c r="N35" s="244" t="s">
        <v>10863</v>
      </c>
      <c r="O35"/>
    </row>
    <row r="36" spans="1:15" ht="26.4">
      <c r="A36" s="230">
        <v>35</v>
      </c>
      <c r="B36" s="240" t="s">
        <v>5071</v>
      </c>
      <c r="C36" s="240" t="s">
        <v>9243</v>
      </c>
      <c r="D36" s="241" t="s">
        <v>10864</v>
      </c>
      <c r="E36" s="241" t="s">
        <v>10865</v>
      </c>
      <c r="F36" s="242" t="s">
        <v>10866</v>
      </c>
      <c r="G36" s="243">
        <v>1</v>
      </c>
      <c r="H36" s="243">
        <v>1</v>
      </c>
      <c r="I36" s="240" t="s">
        <v>10867</v>
      </c>
      <c r="J36" s="240" t="s">
        <v>569</v>
      </c>
      <c r="K36" s="243">
        <v>2022</v>
      </c>
      <c r="L36" s="240" t="s">
        <v>9186</v>
      </c>
      <c r="M36" s="242"/>
      <c r="N36" s="244" t="s">
        <v>10868</v>
      </c>
      <c r="O36"/>
    </row>
    <row r="37" spans="1:15" ht="26.4">
      <c r="A37" s="230">
        <v>36</v>
      </c>
      <c r="B37" s="240" t="s">
        <v>5071</v>
      </c>
      <c r="C37" s="240" t="s">
        <v>9316</v>
      </c>
      <c r="D37" s="241" t="s">
        <v>10869</v>
      </c>
      <c r="E37" s="241" t="s">
        <v>10870</v>
      </c>
      <c r="F37" s="242" t="s">
        <v>10871</v>
      </c>
      <c r="G37" s="243">
        <v>1</v>
      </c>
      <c r="H37" s="243">
        <v>1</v>
      </c>
      <c r="I37" s="240" t="s">
        <v>10872</v>
      </c>
      <c r="J37" s="240" t="s">
        <v>569</v>
      </c>
      <c r="K37" s="243">
        <v>2022</v>
      </c>
      <c r="L37" s="240" t="s">
        <v>9186</v>
      </c>
      <c r="M37" s="242"/>
      <c r="N37" s="244" t="s">
        <v>10873</v>
      </c>
      <c r="O37"/>
    </row>
    <row r="38" spans="1:15" ht="26.4">
      <c r="A38" s="230">
        <v>37</v>
      </c>
      <c r="B38" s="240" t="s">
        <v>5071</v>
      </c>
      <c r="C38" s="240" t="s">
        <v>9184</v>
      </c>
      <c r="D38" s="241" t="s">
        <v>10874</v>
      </c>
      <c r="E38" s="241" t="s">
        <v>10875</v>
      </c>
      <c r="F38" s="242" t="s">
        <v>10876</v>
      </c>
      <c r="G38" s="243">
        <v>1</v>
      </c>
      <c r="H38" s="243">
        <v>1</v>
      </c>
      <c r="I38" s="240" t="s">
        <v>10877</v>
      </c>
      <c r="J38" s="240" t="s">
        <v>569</v>
      </c>
      <c r="K38" s="243">
        <v>2022</v>
      </c>
      <c r="L38" s="240" t="s">
        <v>9186</v>
      </c>
      <c r="M38" s="242"/>
      <c r="N38" s="244" t="s">
        <v>10878</v>
      </c>
      <c r="O38"/>
    </row>
    <row r="39" spans="1:15">
      <c r="A39" s="230">
        <v>38</v>
      </c>
      <c r="B39" s="240" t="s">
        <v>5071</v>
      </c>
      <c r="C39" s="240" t="s">
        <v>9205</v>
      </c>
      <c r="D39" s="241" t="s">
        <v>10879</v>
      </c>
      <c r="E39" s="241" t="s">
        <v>10880</v>
      </c>
      <c r="F39" s="242" t="s">
        <v>10881</v>
      </c>
      <c r="G39" s="243">
        <v>1</v>
      </c>
      <c r="H39" s="243">
        <v>1</v>
      </c>
      <c r="I39" s="240" t="s">
        <v>10882</v>
      </c>
      <c r="J39" s="240" t="s">
        <v>568</v>
      </c>
      <c r="K39" s="243">
        <v>2022</v>
      </c>
      <c r="L39" s="240" t="s">
        <v>9186</v>
      </c>
      <c r="M39" s="242"/>
      <c r="N39" s="244" t="s">
        <v>10883</v>
      </c>
      <c r="O39"/>
    </row>
    <row r="40" spans="1:15" ht="26.4">
      <c r="A40" s="230">
        <v>39</v>
      </c>
      <c r="B40" s="240" t="s">
        <v>5071</v>
      </c>
      <c r="C40" s="240" t="s">
        <v>9184</v>
      </c>
      <c r="D40" s="241" t="s">
        <v>10884</v>
      </c>
      <c r="E40" s="241" t="s">
        <v>10885</v>
      </c>
      <c r="F40" s="242" t="s">
        <v>10886</v>
      </c>
      <c r="G40" s="243">
        <v>1</v>
      </c>
      <c r="H40" s="243">
        <v>1</v>
      </c>
      <c r="I40" s="240" t="s">
        <v>4342</v>
      </c>
      <c r="J40" s="240" t="s">
        <v>569</v>
      </c>
      <c r="K40" s="243">
        <v>2022</v>
      </c>
      <c r="L40" s="240" t="s">
        <v>9186</v>
      </c>
      <c r="M40" s="242"/>
      <c r="N40" s="244" t="s">
        <v>10887</v>
      </c>
      <c r="O40"/>
    </row>
    <row r="41" spans="1:15" ht="26.4">
      <c r="A41" s="230">
        <v>40</v>
      </c>
      <c r="B41" s="240" t="s">
        <v>5071</v>
      </c>
      <c r="C41" s="240" t="s">
        <v>9205</v>
      </c>
      <c r="D41" s="241" t="s">
        <v>10888</v>
      </c>
      <c r="E41" s="241" t="s">
        <v>10889</v>
      </c>
      <c r="F41" s="242" t="s">
        <v>10890</v>
      </c>
      <c r="G41" s="243">
        <v>1</v>
      </c>
      <c r="H41" s="243">
        <v>1</v>
      </c>
      <c r="I41" s="240" t="s">
        <v>10891</v>
      </c>
      <c r="J41" s="240" t="s">
        <v>568</v>
      </c>
      <c r="K41" s="243">
        <v>2022</v>
      </c>
      <c r="L41" s="240" t="s">
        <v>9186</v>
      </c>
      <c r="M41" s="242"/>
      <c r="N41" s="244" t="s">
        <v>10892</v>
      </c>
      <c r="O41"/>
    </row>
    <row r="42" spans="1:15">
      <c r="A42" s="230">
        <v>41</v>
      </c>
      <c r="B42" s="240" t="s">
        <v>5071</v>
      </c>
      <c r="C42" s="240" t="s">
        <v>9205</v>
      </c>
      <c r="D42" s="241" t="s">
        <v>10893</v>
      </c>
      <c r="E42" s="241" t="s">
        <v>10894</v>
      </c>
      <c r="F42" s="242" t="s">
        <v>10895</v>
      </c>
      <c r="G42" s="243">
        <v>1</v>
      </c>
      <c r="H42" s="243">
        <v>1</v>
      </c>
      <c r="I42" s="240" t="s">
        <v>10896</v>
      </c>
      <c r="J42" s="240" t="s">
        <v>568</v>
      </c>
      <c r="K42" s="243">
        <v>2022</v>
      </c>
      <c r="L42" s="240" t="s">
        <v>9186</v>
      </c>
      <c r="M42" s="242"/>
      <c r="N42" s="244" t="s">
        <v>10897</v>
      </c>
      <c r="O42"/>
    </row>
    <row r="43" spans="1:15" ht="26.4">
      <c r="A43" s="230">
        <v>42</v>
      </c>
      <c r="B43" s="240" t="s">
        <v>5071</v>
      </c>
      <c r="C43" s="240" t="s">
        <v>9205</v>
      </c>
      <c r="D43" s="241" t="s">
        <v>10898</v>
      </c>
      <c r="E43" s="241" t="s">
        <v>10899</v>
      </c>
      <c r="F43" s="242" t="s">
        <v>10900</v>
      </c>
      <c r="G43" s="243">
        <v>1</v>
      </c>
      <c r="H43" s="243">
        <v>1</v>
      </c>
      <c r="I43" s="240" t="s">
        <v>10901</v>
      </c>
      <c r="J43" s="240" t="s">
        <v>568</v>
      </c>
      <c r="K43" s="243">
        <v>2022</v>
      </c>
      <c r="L43" s="240" t="s">
        <v>9186</v>
      </c>
      <c r="M43" s="242"/>
      <c r="N43" s="244" t="s">
        <v>10902</v>
      </c>
      <c r="O43"/>
    </row>
    <row r="44" spans="1:15">
      <c r="A44" s="230">
        <v>43</v>
      </c>
      <c r="B44" s="240" t="s">
        <v>5071</v>
      </c>
      <c r="C44" s="240" t="s">
        <v>9316</v>
      </c>
      <c r="D44" s="241" t="s">
        <v>10903</v>
      </c>
      <c r="E44" s="241" t="s">
        <v>10904</v>
      </c>
      <c r="F44" s="242" t="s">
        <v>10905</v>
      </c>
      <c r="G44" s="243">
        <v>1</v>
      </c>
      <c r="H44" s="243">
        <v>1</v>
      </c>
      <c r="I44" s="240" t="s">
        <v>10906</v>
      </c>
      <c r="J44" s="240" t="s">
        <v>569</v>
      </c>
      <c r="K44" s="243">
        <v>2022</v>
      </c>
      <c r="L44" s="240" t="s">
        <v>9186</v>
      </c>
      <c r="M44" s="242"/>
      <c r="N44" s="244" t="s">
        <v>10907</v>
      </c>
      <c r="O44"/>
    </row>
    <row r="45" spans="1:15" ht="26.4">
      <c r="A45" s="230">
        <v>44</v>
      </c>
      <c r="B45" s="240" t="s">
        <v>5071</v>
      </c>
      <c r="C45" s="240" t="s">
        <v>9188</v>
      </c>
      <c r="D45" s="241" t="s">
        <v>10908</v>
      </c>
      <c r="E45" s="241" t="s">
        <v>10909</v>
      </c>
      <c r="F45" s="242" t="s">
        <v>10910</v>
      </c>
      <c r="G45" s="243">
        <v>1</v>
      </c>
      <c r="H45" s="243">
        <v>1</v>
      </c>
      <c r="I45" s="240" t="s">
        <v>10911</v>
      </c>
      <c r="J45" s="240" t="s">
        <v>568</v>
      </c>
      <c r="K45" s="243">
        <v>2022</v>
      </c>
      <c r="L45" s="240" t="s">
        <v>9186</v>
      </c>
      <c r="M45" s="242"/>
      <c r="N45" s="244" t="s">
        <v>10912</v>
      </c>
      <c r="O45"/>
    </row>
    <row r="46" spans="1:15" ht="26.4">
      <c r="A46" s="230">
        <v>45</v>
      </c>
      <c r="B46" s="240" t="s">
        <v>5071</v>
      </c>
      <c r="C46" s="240" t="s">
        <v>9243</v>
      </c>
      <c r="D46" s="241" t="s">
        <v>10913</v>
      </c>
      <c r="E46" s="241" t="s">
        <v>10914</v>
      </c>
      <c r="F46" s="242" t="s">
        <v>10915</v>
      </c>
      <c r="G46" s="243">
        <v>1</v>
      </c>
      <c r="H46" s="243">
        <v>1</v>
      </c>
      <c r="I46" s="240" t="s">
        <v>10916</v>
      </c>
      <c r="J46" s="240" t="s">
        <v>569</v>
      </c>
      <c r="K46" s="243">
        <v>2023</v>
      </c>
      <c r="L46" s="240" t="s">
        <v>9186</v>
      </c>
      <c r="M46" s="242"/>
      <c r="N46" s="244" t="s">
        <v>10917</v>
      </c>
      <c r="O46"/>
    </row>
    <row r="47" spans="1:15" ht="26.4">
      <c r="A47" s="230">
        <v>46</v>
      </c>
      <c r="B47" s="240" t="s">
        <v>5071</v>
      </c>
      <c r="C47" s="240" t="s">
        <v>9184</v>
      </c>
      <c r="D47" s="241" t="s">
        <v>10918</v>
      </c>
      <c r="E47" s="241" t="s">
        <v>10919</v>
      </c>
      <c r="F47" s="242" t="s">
        <v>10920</v>
      </c>
      <c r="G47" s="243">
        <v>1</v>
      </c>
      <c r="H47" s="243">
        <v>1</v>
      </c>
      <c r="I47" s="240" t="s">
        <v>10921</v>
      </c>
      <c r="J47" s="240" t="s">
        <v>569</v>
      </c>
      <c r="K47" s="243">
        <v>2023</v>
      </c>
      <c r="L47" s="240" t="s">
        <v>9186</v>
      </c>
      <c r="M47" s="242"/>
      <c r="N47" s="244" t="s">
        <v>10922</v>
      </c>
      <c r="O47"/>
    </row>
    <row r="48" spans="1:15" ht="26.4">
      <c r="A48" s="230">
        <v>47</v>
      </c>
      <c r="B48" s="240" t="s">
        <v>5071</v>
      </c>
      <c r="C48" s="240" t="s">
        <v>9205</v>
      </c>
      <c r="D48" s="241" t="s">
        <v>10923</v>
      </c>
      <c r="E48" s="241" t="s">
        <v>10924</v>
      </c>
      <c r="F48" s="242" t="s">
        <v>10925</v>
      </c>
      <c r="G48" s="243">
        <v>1</v>
      </c>
      <c r="H48" s="243">
        <v>1</v>
      </c>
      <c r="I48" s="240" t="s">
        <v>10240</v>
      </c>
      <c r="J48" s="240" t="s">
        <v>568</v>
      </c>
      <c r="K48" s="243">
        <v>2023</v>
      </c>
      <c r="L48" s="240" t="s">
        <v>9186</v>
      </c>
      <c r="M48" s="242"/>
      <c r="N48" s="244" t="s">
        <v>10926</v>
      </c>
      <c r="O48"/>
    </row>
    <row r="49" spans="1:15" ht="26.4">
      <c r="A49" s="230">
        <v>48</v>
      </c>
      <c r="B49" s="240" t="s">
        <v>5071</v>
      </c>
      <c r="C49" s="240" t="s">
        <v>9205</v>
      </c>
      <c r="D49" s="241" t="s">
        <v>10927</v>
      </c>
      <c r="E49" s="241" t="s">
        <v>10928</v>
      </c>
      <c r="F49" s="242" t="s">
        <v>10929</v>
      </c>
      <c r="G49" s="243">
        <v>1</v>
      </c>
      <c r="H49" s="243">
        <v>1</v>
      </c>
      <c r="I49" s="240" t="s">
        <v>10930</v>
      </c>
      <c r="J49" s="240" t="s">
        <v>568</v>
      </c>
      <c r="K49" s="243">
        <v>2023</v>
      </c>
      <c r="L49" s="240" t="s">
        <v>9186</v>
      </c>
      <c r="M49" s="242"/>
      <c r="N49" s="244" t="s">
        <v>10931</v>
      </c>
      <c r="O49"/>
    </row>
    <row r="50" spans="1:15" ht="26.4">
      <c r="A50" s="230">
        <v>49</v>
      </c>
      <c r="B50" s="240" t="s">
        <v>5071</v>
      </c>
      <c r="C50" s="240" t="s">
        <v>9228</v>
      </c>
      <c r="D50" s="241" t="s">
        <v>10932</v>
      </c>
      <c r="E50" s="241" t="s">
        <v>10933</v>
      </c>
      <c r="F50" s="242" t="s">
        <v>10934</v>
      </c>
      <c r="G50" s="243">
        <v>1</v>
      </c>
      <c r="H50" s="243">
        <v>1</v>
      </c>
      <c r="I50" s="240" t="s">
        <v>10935</v>
      </c>
      <c r="J50" s="240" t="s">
        <v>568</v>
      </c>
      <c r="K50" s="243">
        <v>2023</v>
      </c>
      <c r="L50" s="240" t="s">
        <v>9186</v>
      </c>
      <c r="M50" s="242"/>
      <c r="N50" s="244" t="s">
        <v>10936</v>
      </c>
      <c r="O50"/>
    </row>
    <row r="51" spans="1:15" ht="26.4">
      <c r="A51" s="230">
        <v>50</v>
      </c>
      <c r="B51" s="240" t="s">
        <v>5071</v>
      </c>
      <c r="C51" s="240" t="s">
        <v>9184</v>
      </c>
      <c r="D51" s="241" t="s">
        <v>10937</v>
      </c>
      <c r="E51" s="241" t="s">
        <v>10938</v>
      </c>
      <c r="F51" s="242" t="s">
        <v>10939</v>
      </c>
      <c r="G51" s="243">
        <v>1</v>
      </c>
      <c r="H51" s="243">
        <v>1</v>
      </c>
      <c r="I51" s="240" t="s">
        <v>10940</v>
      </c>
      <c r="J51" s="240" t="s">
        <v>569</v>
      </c>
      <c r="K51" s="243">
        <v>2023</v>
      </c>
      <c r="L51" s="240" t="s">
        <v>9186</v>
      </c>
      <c r="M51" s="242"/>
      <c r="N51" s="244" t="s">
        <v>10941</v>
      </c>
      <c r="O51"/>
    </row>
    <row r="52" spans="1:15" ht="26.4">
      <c r="A52" s="230">
        <v>51</v>
      </c>
      <c r="B52" s="240" t="s">
        <v>5071</v>
      </c>
      <c r="C52" s="240" t="s">
        <v>9386</v>
      </c>
      <c r="D52" s="241" t="s">
        <v>10942</v>
      </c>
      <c r="E52" s="241" t="s">
        <v>10943</v>
      </c>
      <c r="F52" s="242" t="s">
        <v>10944</v>
      </c>
      <c r="G52" s="243">
        <v>1</v>
      </c>
      <c r="H52" s="243">
        <v>1</v>
      </c>
      <c r="I52" s="240" t="s">
        <v>10690</v>
      </c>
      <c r="J52" s="240" t="s">
        <v>569</v>
      </c>
      <c r="K52" s="243">
        <v>2023</v>
      </c>
      <c r="L52" s="240" t="s">
        <v>9186</v>
      </c>
      <c r="M52" s="242"/>
      <c r="N52" s="244" t="s">
        <v>10945</v>
      </c>
      <c r="O52"/>
    </row>
    <row r="53" spans="1:15" ht="26.4">
      <c r="A53" s="230">
        <v>52</v>
      </c>
      <c r="B53" s="240" t="s">
        <v>5071</v>
      </c>
      <c r="C53" s="240" t="s">
        <v>9205</v>
      </c>
      <c r="D53" s="241" t="s">
        <v>10946</v>
      </c>
      <c r="E53" s="241" t="s">
        <v>10947</v>
      </c>
      <c r="F53" s="242" t="s">
        <v>10948</v>
      </c>
      <c r="G53" s="243">
        <v>1</v>
      </c>
      <c r="H53" s="243">
        <v>1</v>
      </c>
      <c r="I53" s="240" t="s">
        <v>10949</v>
      </c>
      <c r="J53" s="240" t="s">
        <v>568</v>
      </c>
      <c r="K53" s="243">
        <v>2023</v>
      </c>
      <c r="L53" s="240" t="s">
        <v>9186</v>
      </c>
      <c r="M53" s="242"/>
      <c r="N53" s="244" t="s">
        <v>10950</v>
      </c>
      <c r="O53"/>
    </row>
    <row r="54" spans="1:15" ht="26.4">
      <c r="A54" s="230">
        <v>53</v>
      </c>
      <c r="B54" s="240" t="s">
        <v>5071</v>
      </c>
      <c r="C54" s="240" t="s">
        <v>9205</v>
      </c>
      <c r="D54" s="241" t="s">
        <v>10951</v>
      </c>
      <c r="E54" s="241" t="s">
        <v>10952</v>
      </c>
      <c r="F54" s="242" t="s">
        <v>10953</v>
      </c>
      <c r="G54" s="243">
        <v>1</v>
      </c>
      <c r="H54" s="243">
        <v>1</v>
      </c>
      <c r="I54" s="240" t="s">
        <v>10954</v>
      </c>
      <c r="J54" s="240" t="s">
        <v>568</v>
      </c>
      <c r="K54" s="243">
        <v>2023</v>
      </c>
      <c r="L54" s="240" t="s">
        <v>9186</v>
      </c>
      <c r="M54" s="242"/>
      <c r="N54" s="244" t="s">
        <v>10955</v>
      </c>
      <c r="O54"/>
    </row>
    <row r="55" spans="1:15" ht="26.4">
      <c r="A55" s="230">
        <v>54</v>
      </c>
      <c r="B55" s="240" t="s">
        <v>5071</v>
      </c>
      <c r="C55" s="240" t="s">
        <v>9201</v>
      </c>
      <c r="D55" s="241" t="s">
        <v>10956</v>
      </c>
      <c r="E55" s="241" t="s">
        <v>10957</v>
      </c>
      <c r="F55" s="242" t="s">
        <v>10958</v>
      </c>
      <c r="G55" s="243">
        <v>1</v>
      </c>
      <c r="H55" s="243">
        <v>1</v>
      </c>
      <c r="I55" s="240" t="s">
        <v>5272</v>
      </c>
      <c r="J55" s="240" t="s">
        <v>568</v>
      </c>
      <c r="K55" s="243">
        <v>2023</v>
      </c>
      <c r="L55" s="240" t="s">
        <v>9186</v>
      </c>
      <c r="M55" s="242"/>
      <c r="N55" s="244" t="s">
        <v>10959</v>
      </c>
      <c r="O55"/>
    </row>
    <row r="56" spans="1:15" ht="26.4">
      <c r="A56" s="230">
        <v>55</v>
      </c>
      <c r="B56" s="240" t="s">
        <v>5071</v>
      </c>
      <c r="C56" s="240" t="s">
        <v>9184</v>
      </c>
      <c r="D56" s="241" t="s">
        <v>10960</v>
      </c>
      <c r="E56" s="241" t="s">
        <v>10961</v>
      </c>
      <c r="F56" s="242" t="s">
        <v>10962</v>
      </c>
      <c r="G56" s="243">
        <v>1</v>
      </c>
      <c r="H56" s="243">
        <v>1</v>
      </c>
      <c r="I56" s="240" t="s">
        <v>10963</v>
      </c>
      <c r="J56" s="240" t="s">
        <v>569</v>
      </c>
      <c r="K56" s="243">
        <v>2023</v>
      </c>
      <c r="L56" s="240" t="s">
        <v>9186</v>
      </c>
      <c r="M56" s="242"/>
      <c r="N56" s="244" t="s">
        <v>10964</v>
      </c>
      <c r="O56"/>
    </row>
    <row r="57" spans="1:15">
      <c r="A57" s="230">
        <v>56</v>
      </c>
      <c r="B57" s="240" t="s">
        <v>5071</v>
      </c>
      <c r="C57" s="240" t="s">
        <v>9243</v>
      </c>
      <c r="D57" s="241" t="s">
        <v>10965</v>
      </c>
      <c r="E57" s="241" t="s">
        <v>10966</v>
      </c>
      <c r="F57" s="242" t="s">
        <v>10967</v>
      </c>
      <c r="G57" s="243">
        <v>1</v>
      </c>
      <c r="H57" s="243">
        <v>1</v>
      </c>
      <c r="I57" s="240" t="s">
        <v>10968</v>
      </c>
      <c r="J57" s="240" t="s">
        <v>569</v>
      </c>
      <c r="K57" s="243">
        <v>2023</v>
      </c>
      <c r="L57" s="240" t="s">
        <v>9186</v>
      </c>
      <c r="M57" s="242"/>
      <c r="N57" s="244" t="s">
        <v>10969</v>
      </c>
      <c r="O57"/>
    </row>
    <row r="58" spans="1:15" ht="26.4">
      <c r="A58" s="230">
        <v>57</v>
      </c>
      <c r="B58" s="240" t="s">
        <v>5071</v>
      </c>
      <c r="C58" s="240" t="s">
        <v>9205</v>
      </c>
      <c r="D58" s="241" t="s">
        <v>10970</v>
      </c>
      <c r="E58" s="241" t="s">
        <v>10971</v>
      </c>
      <c r="F58" s="242" t="s">
        <v>10972</v>
      </c>
      <c r="G58" s="243">
        <v>1</v>
      </c>
      <c r="H58" s="243">
        <v>1</v>
      </c>
      <c r="I58" s="240" t="s">
        <v>10973</v>
      </c>
      <c r="J58" s="240" t="s">
        <v>568</v>
      </c>
      <c r="K58" s="243">
        <v>2023</v>
      </c>
      <c r="L58" s="240" t="s">
        <v>9186</v>
      </c>
      <c r="M58" s="242"/>
      <c r="N58" s="244" t="s">
        <v>10974</v>
      </c>
      <c r="O58"/>
    </row>
    <row r="59" spans="1:15">
      <c r="A59" s="230">
        <v>58</v>
      </c>
      <c r="B59" s="240" t="s">
        <v>5071</v>
      </c>
      <c r="C59" s="240" t="s">
        <v>9201</v>
      </c>
      <c r="D59" s="241" t="s">
        <v>10975</v>
      </c>
      <c r="E59" s="241" t="s">
        <v>10976</v>
      </c>
      <c r="F59" s="242" t="s">
        <v>10977</v>
      </c>
      <c r="G59" s="243">
        <v>1</v>
      </c>
      <c r="H59" s="243">
        <v>1</v>
      </c>
      <c r="I59" s="240" t="s">
        <v>10978</v>
      </c>
      <c r="J59" s="240" t="s">
        <v>568</v>
      </c>
      <c r="K59" s="243">
        <v>2023</v>
      </c>
      <c r="L59" s="240" t="s">
        <v>9186</v>
      </c>
      <c r="M59" s="242"/>
      <c r="N59" s="244" t="s">
        <v>10979</v>
      </c>
      <c r="O59"/>
    </row>
    <row r="60" spans="1:15" ht="26.4">
      <c r="A60" s="230">
        <v>59</v>
      </c>
      <c r="B60" s="240" t="s">
        <v>5071</v>
      </c>
      <c r="C60" s="240" t="s">
        <v>9205</v>
      </c>
      <c r="D60" s="241" t="s">
        <v>10980</v>
      </c>
      <c r="E60" s="241" t="s">
        <v>10981</v>
      </c>
      <c r="F60" s="242" t="s">
        <v>10982</v>
      </c>
      <c r="G60" s="243">
        <v>1</v>
      </c>
      <c r="H60" s="243">
        <v>1</v>
      </c>
      <c r="I60" s="240" t="s">
        <v>10983</v>
      </c>
      <c r="J60" s="240" t="s">
        <v>568</v>
      </c>
      <c r="K60" s="243">
        <v>2023</v>
      </c>
      <c r="L60" s="240" t="s">
        <v>9186</v>
      </c>
      <c r="M60" s="242"/>
      <c r="N60" s="244" t="s">
        <v>10984</v>
      </c>
      <c r="O60"/>
    </row>
    <row r="61" spans="1:15" ht="26.4">
      <c r="A61" s="230">
        <v>60</v>
      </c>
      <c r="B61" s="240" t="s">
        <v>5071</v>
      </c>
      <c r="C61" s="240" t="s">
        <v>9243</v>
      </c>
      <c r="D61" s="241" t="s">
        <v>10985</v>
      </c>
      <c r="E61" s="241" t="s">
        <v>10986</v>
      </c>
      <c r="F61" s="242" t="s">
        <v>10987</v>
      </c>
      <c r="G61" s="243">
        <v>1</v>
      </c>
      <c r="H61" s="243">
        <v>1</v>
      </c>
      <c r="I61" s="240" t="s">
        <v>10988</v>
      </c>
      <c r="J61" s="240" t="s">
        <v>569</v>
      </c>
      <c r="K61" s="243">
        <v>2023</v>
      </c>
      <c r="L61" s="240" t="s">
        <v>9186</v>
      </c>
      <c r="M61" s="242"/>
      <c r="N61" s="244" t="s">
        <v>10989</v>
      </c>
      <c r="O61"/>
    </row>
    <row r="62" spans="1:15" ht="26.4">
      <c r="A62" s="230">
        <v>61</v>
      </c>
      <c r="B62" s="240" t="s">
        <v>5071</v>
      </c>
      <c r="C62" s="240" t="s">
        <v>9205</v>
      </c>
      <c r="D62" s="241" t="s">
        <v>10990</v>
      </c>
      <c r="E62" s="241" t="s">
        <v>10991</v>
      </c>
      <c r="F62" s="242" t="s">
        <v>10992</v>
      </c>
      <c r="G62" s="243">
        <v>1</v>
      </c>
      <c r="H62" s="243">
        <v>1</v>
      </c>
      <c r="I62" s="240" t="s">
        <v>8566</v>
      </c>
      <c r="J62" s="240" t="s">
        <v>568</v>
      </c>
      <c r="K62" s="243">
        <v>2023</v>
      </c>
      <c r="L62" s="240" t="s">
        <v>9186</v>
      </c>
      <c r="M62" s="242"/>
      <c r="N62" s="244" t="s">
        <v>10993</v>
      </c>
      <c r="O62"/>
    </row>
    <row r="63" spans="1:15" ht="26.4">
      <c r="A63" s="230">
        <v>62</v>
      </c>
      <c r="B63" s="240" t="s">
        <v>5071</v>
      </c>
      <c r="C63" s="240" t="s">
        <v>9184</v>
      </c>
      <c r="D63" s="241" t="s">
        <v>10994</v>
      </c>
      <c r="E63" s="241" t="s">
        <v>10995</v>
      </c>
      <c r="F63" s="242" t="s">
        <v>10996</v>
      </c>
      <c r="G63" s="243">
        <v>1</v>
      </c>
      <c r="H63" s="243">
        <v>1</v>
      </c>
      <c r="I63" s="240" t="s">
        <v>10997</v>
      </c>
      <c r="J63" s="240" t="s">
        <v>569</v>
      </c>
      <c r="K63" s="243">
        <v>2023</v>
      </c>
      <c r="L63" s="240" t="s">
        <v>9186</v>
      </c>
      <c r="M63" s="242"/>
      <c r="N63" s="244" t="s">
        <v>10998</v>
      </c>
      <c r="O63"/>
    </row>
    <row r="64" spans="1:15">
      <c r="A64" s="230">
        <v>63</v>
      </c>
      <c r="B64" s="240" t="s">
        <v>5071</v>
      </c>
      <c r="C64" s="240" t="s">
        <v>9386</v>
      </c>
      <c r="D64" s="241" t="s">
        <v>10999</v>
      </c>
      <c r="E64" s="241" t="s">
        <v>11000</v>
      </c>
      <c r="F64" s="242" t="s">
        <v>11001</v>
      </c>
      <c r="G64" s="243">
        <v>1</v>
      </c>
      <c r="H64" s="243">
        <v>1</v>
      </c>
      <c r="I64" s="240" t="s">
        <v>10240</v>
      </c>
      <c r="J64" s="240" t="s">
        <v>569</v>
      </c>
      <c r="K64" s="243">
        <v>2023</v>
      </c>
      <c r="L64" s="240" t="s">
        <v>9186</v>
      </c>
      <c r="M64" s="242"/>
      <c r="N64" s="244" t="s">
        <v>11002</v>
      </c>
      <c r="O64"/>
    </row>
    <row r="65" spans="1:15">
      <c r="A65" s="230">
        <v>64</v>
      </c>
      <c r="B65" s="240" t="s">
        <v>5071</v>
      </c>
      <c r="C65" s="240" t="s">
        <v>9205</v>
      </c>
      <c r="D65" s="241" t="s">
        <v>11003</v>
      </c>
      <c r="E65" s="241" t="s">
        <v>11004</v>
      </c>
      <c r="F65" s="242" t="s">
        <v>11005</v>
      </c>
      <c r="G65" s="243">
        <v>1</v>
      </c>
      <c r="H65" s="243">
        <v>1</v>
      </c>
      <c r="I65" s="240" t="s">
        <v>11006</v>
      </c>
      <c r="J65" s="240" t="s">
        <v>568</v>
      </c>
      <c r="K65" s="243">
        <v>2023</v>
      </c>
      <c r="L65" s="240" t="s">
        <v>9186</v>
      </c>
      <c r="M65" s="242"/>
      <c r="N65" s="244" t="s">
        <v>11007</v>
      </c>
      <c r="O65"/>
    </row>
    <row r="66" spans="1:15" ht="26.4">
      <c r="A66" s="230">
        <v>65</v>
      </c>
      <c r="B66" s="240" t="s">
        <v>5071</v>
      </c>
      <c r="C66" s="240" t="s">
        <v>9184</v>
      </c>
      <c r="D66" s="241" t="s">
        <v>11008</v>
      </c>
      <c r="E66" s="241" t="s">
        <v>11009</v>
      </c>
      <c r="F66" s="242" t="s">
        <v>11010</v>
      </c>
      <c r="G66" s="243">
        <v>1</v>
      </c>
      <c r="H66" s="243">
        <v>1</v>
      </c>
      <c r="I66" s="240" t="s">
        <v>11011</v>
      </c>
      <c r="J66" s="240" t="s">
        <v>569</v>
      </c>
      <c r="K66" s="243">
        <v>2023</v>
      </c>
      <c r="L66" s="240" t="s">
        <v>9186</v>
      </c>
      <c r="M66" s="242"/>
      <c r="N66" s="244" t="s">
        <v>11012</v>
      </c>
      <c r="O66"/>
    </row>
    <row r="67" spans="1:15" ht="26.4">
      <c r="A67" s="230">
        <v>66</v>
      </c>
      <c r="B67" s="240" t="s">
        <v>5071</v>
      </c>
      <c r="C67" s="240" t="s">
        <v>9386</v>
      </c>
      <c r="D67" s="241" t="s">
        <v>11013</v>
      </c>
      <c r="E67" s="241" t="s">
        <v>11014</v>
      </c>
      <c r="F67" s="242" t="s">
        <v>11015</v>
      </c>
      <c r="G67" s="243">
        <v>1</v>
      </c>
      <c r="H67" s="243">
        <v>1</v>
      </c>
      <c r="I67" s="240" t="s">
        <v>11016</v>
      </c>
      <c r="J67" s="240" t="s">
        <v>569</v>
      </c>
      <c r="K67" s="243">
        <v>2023</v>
      </c>
      <c r="L67" s="240" t="s">
        <v>9186</v>
      </c>
      <c r="M67" s="242"/>
      <c r="N67" s="244" t="s">
        <v>11017</v>
      </c>
      <c r="O67"/>
    </row>
    <row r="68" spans="1:15" ht="26.4">
      <c r="A68" s="230">
        <v>67</v>
      </c>
      <c r="B68" s="240" t="s">
        <v>5071</v>
      </c>
      <c r="C68" s="240" t="s">
        <v>9201</v>
      </c>
      <c r="D68" s="241" t="s">
        <v>11018</v>
      </c>
      <c r="E68" s="241" t="s">
        <v>11019</v>
      </c>
      <c r="F68" s="242" t="s">
        <v>11020</v>
      </c>
      <c r="G68" s="243">
        <v>1</v>
      </c>
      <c r="H68" s="243">
        <v>1</v>
      </c>
      <c r="I68" s="240" t="s">
        <v>11021</v>
      </c>
      <c r="J68" s="240" t="s">
        <v>568</v>
      </c>
      <c r="K68" s="243">
        <v>2023</v>
      </c>
      <c r="L68" s="240" t="s">
        <v>9186</v>
      </c>
      <c r="M68" s="242"/>
      <c r="N68" s="244" t="s">
        <v>11022</v>
      </c>
      <c r="O68"/>
    </row>
    <row r="69" spans="1:15" ht="26.4">
      <c r="A69" s="230">
        <v>68</v>
      </c>
      <c r="B69" s="240" t="s">
        <v>5071</v>
      </c>
      <c r="C69" s="240" t="s">
        <v>9184</v>
      </c>
      <c r="D69" s="241" t="s">
        <v>11023</v>
      </c>
      <c r="E69" s="241" t="s">
        <v>11024</v>
      </c>
      <c r="F69" s="242" t="s">
        <v>11025</v>
      </c>
      <c r="G69" s="243">
        <v>1</v>
      </c>
      <c r="H69" s="243">
        <v>1</v>
      </c>
      <c r="I69" s="240" t="s">
        <v>11026</v>
      </c>
      <c r="J69" s="240" t="s">
        <v>569</v>
      </c>
      <c r="K69" s="243">
        <v>2023</v>
      </c>
      <c r="L69" s="240" t="s">
        <v>9186</v>
      </c>
      <c r="M69" s="242"/>
      <c r="N69" s="244" t="s">
        <v>11027</v>
      </c>
      <c r="O69"/>
    </row>
    <row r="70" spans="1:15">
      <c r="A70" s="230">
        <v>69</v>
      </c>
      <c r="B70" s="240" t="s">
        <v>5071</v>
      </c>
      <c r="C70" s="240" t="s">
        <v>9205</v>
      </c>
      <c r="D70" s="241" t="s">
        <v>11028</v>
      </c>
      <c r="E70" s="241" t="s">
        <v>11029</v>
      </c>
      <c r="F70" s="242" t="s">
        <v>11030</v>
      </c>
      <c r="G70" s="243">
        <v>1</v>
      </c>
      <c r="H70" s="243">
        <v>1</v>
      </c>
      <c r="I70" s="240" t="s">
        <v>11031</v>
      </c>
      <c r="J70" s="240" t="s">
        <v>568</v>
      </c>
      <c r="K70" s="243">
        <v>2023</v>
      </c>
      <c r="L70" s="240" t="s">
        <v>9186</v>
      </c>
      <c r="M70" s="242"/>
      <c r="N70" s="244" t="s">
        <v>11032</v>
      </c>
      <c r="O70"/>
    </row>
    <row r="71" spans="1:15" ht="26.4">
      <c r="A71" s="230">
        <v>70</v>
      </c>
      <c r="B71" s="240" t="s">
        <v>5071</v>
      </c>
      <c r="C71" s="240" t="s">
        <v>9188</v>
      </c>
      <c r="D71" s="241" t="s">
        <v>11033</v>
      </c>
      <c r="E71" s="241" t="s">
        <v>11034</v>
      </c>
      <c r="F71" s="242" t="s">
        <v>11035</v>
      </c>
      <c r="G71" s="243">
        <v>1</v>
      </c>
      <c r="H71" s="243">
        <v>1</v>
      </c>
      <c r="I71" s="240" t="s">
        <v>11036</v>
      </c>
      <c r="J71" s="240" t="s">
        <v>568</v>
      </c>
      <c r="K71" s="243">
        <v>2023</v>
      </c>
      <c r="L71" s="240" t="s">
        <v>9186</v>
      </c>
      <c r="M71" s="242"/>
      <c r="N71" s="244" t="s">
        <v>11037</v>
      </c>
      <c r="O71"/>
    </row>
    <row r="72" spans="1:15" ht="26.4">
      <c r="A72" s="230">
        <v>71</v>
      </c>
      <c r="B72" s="240" t="s">
        <v>5071</v>
      </c>
      <c r="C72" s="240" t="s">
        <v>9243</v>
      </c>
      <c r="D72" s="241" t="s">
        <v>11038</v>
      </c>
      <c r="E72" s="241" t="s">
        <v>11039</v>
      </c>
      <c r="F72" s="242" t="s">
        <v>11040</v>
      </c>
      <c r="G72" s="243">
        <v>1</v>
      </c>
      <c r="H72" s="243">
        <v>1</v>
      </c>
      <c r="I72" s="240" t="s">
        <v>11041</v>
      </c>
      <c r="J72" s="240" t="s">
        <v>569</v>
      </c>
      <c r="K72" s="243">
        <v>2023</v>
      </c>
      <c r="L72" s="240" t="s">
        <v>9186</v>
      </c>
      <c r="M72" s="242"/>
      <c r="N72" s="244" t="s">
        <v>11042</v>
      </c>
      <c r="O72"/>
    </row>
    <row r="73" spans="1:15" ht="26.4">
      <c r="A73" s="230">
        <v>72</v>
      </c>
      <c r="B73" s="240" t="s">
        <v>5071</v>
      </c>
      <c r="C73" s="240" t="s">
        <v>9205</v>
      </c>
      <c r="D73" s="241" t="s">
        <v>11043</v>
      </c>
      <c r="E73" s="241" t="s">
        <v>11044</v>
      </c>
      <c r="F73" s="242" t="s">
        <v>11045</v>
      </c>
      <c r="G73" s="243">
        <v>1</v>
      </c>
      <c r="H73" s="243">
        <v>1</v>
      </c>
      <c r="I73" s="240" t="s">
        <v>11046</v>
      </c>
      <c r="J73" s="240" t="s">
        <v>568</v>
      </c>
      <c r="K73" s="243">
        <v>2023</v>
      </c>
      <c r="L73" s="240" t="s">
        <v>9186</v>
      </c>
      <c r="M73" s="242"/>
      <c r="N73" s="244" t="s">
        <v>11047</v>
      </c>
      <c r="O73"/>
    </row>
    <row r="74" spans="1:15" ht="26.4">
      <c r="A74" s="230">
        <v>73</v>
      </c>
      <c r="B74" s="240" t="s">
        <v>5071</v>
      </c>
      <c r="C74" s="240" t="s">
        <v>9285</v>
      </c>
      <c r="D74" s="241" t="s">
        <v>11048</v>
      </c>
      <c r="E74" s="241" t="s">
        <v>11049</v>
      </c>
      <c r="F74" s="242" t="s">
        <v>11050</v>
      </c>
      <c r="G74" s="243">
        <v>1</v>
      </c>
      <c r="H74" s="243">
        <v>1</v>
      </c>
      <c r="I74" s="240" t="s">
        <v>11051</v>
      </c>
      <c r="J74" s="240" t="s">
        <v>569</v>
      </c>
      <c r="K74" s="243">
        <v>2023</v>
      </c>
      <c r="L74" s="240" t="s">
        <v>9186</v>
      </c>
      <c r="M74" s="242"/>
      <c r="N74" s="244" t="s">
        <v>11052</v>
      </c>
      <c r="O74"/>
    </row>
    <row r="75" spans="1:15" ht="26.4">
      <c r="A75" s="230">
        <v>74</v>
      </c>
      <c r="B75" s="240" t="s">
        <v>5071</v>
      </c>
      <c r="C75" s="240" t="s">
        <v>9406</v>
      </c>
      <c r="D75" s="241" t="s">
        <v>11053</v>
      </c>
      <c r="E75" s="241" t="s">
        <v>11054</v>
      </c>
      <c r="F75" s="242" t="s">
        <v>11055</v>
      </c>
      <c r="G75" s="243">
        <v>1</v>
      </c>
      <c r="H75" s="243">
        <v>1</v>
      </c>
      <c r="I75" s="240" t="s">
        <v>11056</v>
      </c>
      <c r="J75" s="240" t="s">
        <v>569</v>
      </c>
      <c r="K75" s="243">
        <v>2023</v>
      </c>
      <c r="L75" s="240" t="s">
        <v>9186</v>
      </c>
      <c r="M75" s="242"/>
      <c r="N75" s="244" t="s">
        <v>11057</v>
      </c>
      <c r="O75"/>
    </row>
    <row r="76" spans="1:15" ht="26.4">
      <c r="A76" s="230">
        <v>75</v>
      </c>
      <c r="B76" s="240" t="s">
        <v>5071</v>
      </c>
      <c r="C76" s="240" t="s">
        <v>9201</v>
      </c>
      <c r="D76" s="241" t="s">
        <v>11058</v>
      </c>
      <c r="E76" s="241" t="s">
        <v>11059</v>
      </c>
      <c r="F76" s="242" t="s">
        <v>11060</v>
      </c>
      <c r="G76" s="243">
        <v>1</v>
      </c>
      <c r="H76" s="243">
        <v>1</v>
      </c>
      <c r="I76" s="240" t="s">
        <v>10140</v>
      </c>
      <c r="J76" s="240" t="s">
        <v>568</v>
      </c>
      <c r="K76" s="243">
        <v>2023</v>
      </c>
      <c r="L76" s="240" t="s">
        <v>9186</v>
      </c>
      <c r="M76" s="242"/>
      <c r="N76" s="244" t="s">
        <v>11061</v>
      </c>
      <c r="O76"/>
    </row>
    <row r="77" spans="1:15" ht="26.4">
      <c r="A77" s="230">
        <v>76</v>
      </c>
      <c r="B77" s="240" t="s">
        <v>5071</v>
      </c>
      <c r="C77" s="240" t="s">
        <v>9184</v>
      </c>
      <c r="D77" s="241" t="s">
        <v>11062</v>
      </c>
      <c r="E77" s="241" t="s">
        <v>11063</v>
      </c>
      <c r="F77" s="242" t="s">
        <v>11064</v>
      </c>
      <c r="G77" s="243">
        <v>1</v>
      </c>
      <c r="H77" s="243">
        <v>1</v>
      </c>
      <c r="I77" s="240" t="s">
        <v>9454</v>
      </c>
      <c r="J77" s="240" t="s">
        <v>569</v>
      </c>
      <c r="K77" s="243">
        <v>2023</v>
      </c>
      <c r="L77" s="240" t="s">
        <v>9186</v>
      </c>
      <c r="M77" s="242"/>
      <c r="N77" s="244" t="s">
        <v>11065</v>
      </c>
      <c r="O77"/>
    </row>
    <row r="78" spans="1:15" ht="26.4">
      <c r="A78" s="230">
        <v>77</v>
      </c>
      <c r="B78" s="240" t="s">
        <v>5071</v>
      </c>
      <c r="C78" s="240" t="s">
        <v>9205</v>
      </c>
      <c r="D78" s="241" t="s">
        <v>11066</v>
      </c>
      <c r="E78" s="241" t="s">
        <v>11067</v>
      </c>
      <c r="F78" s="242" t="s">
        <v>11068</v>
      </c>
      <c r="G78" s="243">
        <v>1</v>
      </c>
      <c r="H78" s="243">
        <v>1</v>
      </c>
      <c r="I78" s="240" t="s">
        <v>11069</v>
      </c>
      <c r="J78" s="240" t="s">
        <v>568</v>
      </c>
      <c r="K78" s="243">
        <v>2023</v>
      </c>
      <c r="L78" s="240" t="s">
        <v>9186</v>
      </c>
      <c r="M78" s="242"/>
      <c r="N78" s="244" t="s">
        <v>11070</v>
      </c>
      <c r="O78"/>
    </row>
    <row r="79" spans="1:15" ht="26.4">
      <c r="A79" s="230">
        <v>78</v>
      </c>
      <c r="B79" s="240" t="s">
        <v>5071</v>
      </c>
      <c r="C79" s="240" t="s">
        <v>9205</v>
      </c>
      <c r="D79" s="241" t="s">
        <v>11071</v>
      </c>
      <c r="E79" s="241" t="s">
        <v>11072</v>
      </c>
      <c r="F79" s="242" t="s">
        <v>11073</v>
      </c>
      <c r="G79" s="243">
        <v>1</v>
      </c>
      <c r="H79" s="243">
        <v>1</v>
      </c>
      <c r="I79" s="240" t="s">
        <v>11074</v>
      </c>
      <c r="J79" s="240" t="s">
        <v>568</v>
      </c>
      <c r="K79" s="243">
        <v>2023</v>
      </c>
      <c r="L79" s="240" t="s">
        <v>9186</v>
      </c>
      <c r="M79" s="242"/>
      <c r="N79" s="244" t="s">
        <v>11075</v>
      </c>
      <c r="O79"/>
    </row>
    <row r="80" spans="1:15" ht="26.4">
      <c r="A80" s="230">
        <v>79</v>
      </c>
      <c r="B80" s="240" t="s">
        <v>5071</v>
      </c>
      <c r="C80" s="240" t="s">
        <v>9205</v>
      </c>
      <c r="D80" s="241" t="s">
        <v>11076</v>
      </c>
      <c r="E80" s="241" t="s">
        <v>11077</v>
      </c>
      <c r="F80" s="242" t="s">
        <v>11078</v>
      </c>
      <c r="G80" s="243">
        <v>1</v>
      </c>
      <c r="H80" s="243">
        <v>1</v>
      </c>
      <c r="I80" s="240" t="s">
        <v>11079</v>
      </c>
      <c r="J80" s="240" t="s">
        <v>568</v>
      </c>
      <c r="K80" s="243">
        <v>2023</v>
      </c>
      <c r="L80" s="240" t="s">
        <v>9186</v>
      </c>
      <c r="M80" s="242"/>
      <c r="N80" s="244" t="s">
        <v>11080</v>
      </c>
      <c r="O80"/>
    </row>
    <row r="81" spans="1:15" ht="26.4">
      <c r="A81" s="230">
        <v>80</v>
      </c>
      <c r="B81" s="240" t="s">
        <v>5071</v>
      </c>
      <c r="C81" s="240" t="s">
        <v>9205</v>
      </c>
      <c r="D81" s="241" t="s">
        <v>11081</v>
      </c>
      <c r="E81" s="241" t="s">
        <v>11082</v>
      </c>
      <c r="F81" s="242" t="s">
        <v>11083</v>
      </c>
      <c r="G81" s="243">
        <v>1</v>
      </c>
      <c r="H81" s="243">
        <v>1</v>
      </c>
      <c r="I81" s="240" t="s">
        <v>11084</v>
      </c>
      <c r="J81" s="240" t="s">
        <v>568</v>
      </c>
      <c r="K81" s="243">
        <v>2023</v>
      </c>
      <c r="L81" s="240" t="s">
        <v>9186</v>
      </c>
      <c r="M81" s="242"/>
      <c r="N81" s="244" t="s">
        <v>11085</v>
      </c>
      <c r="O81"/>
    </row>
    <row r="82" spans="1:15" ht="26.4">
      <c r="A82" s="230">
        <v>81</v>
      </c>
      <c r="B82" s="240" t="s">
        <v>5071</v>
      </c>
      <c r="C82" s="240" t="s">
        <v>9184</v>
      </c>
      <c r="D82" s="241" t="s">
        <v>11086</v>
      </c>
      <c r="E82" s="241" t="s">
        <v>11087</v>
      </c>
      <c r="F82" s="242" t="s">
        <v>11088</v>
      </c>
      <c r="G82" s="243">
        <v>1</v>
      </c>
      <c r="H82" s="243">
        <v>1</v>
      </c>
      <c r="I82" s="240" t="s">
        <v>2218</v>
      </c>
      <c r="J82" s="240" t="s">
        <v>569</v>
      </c>
      <c r="K82" s="243">
        <v>2023</v>
      </c>
      <c r="L82" s="240" t="s">
        <v>9186</v>
      </c>
      <c r="M82" s="242"/>
      <c r="N82" s="244" t="s">
        <v>11089</v>
      </c>
      <c r="O82"/>
    </row>
    <row r="83" spans="1:15" ht="26.4">
      <c r="A83" s="230">
        <v>82</v>
      </c>
      <c r="B83" s="240" t="s">
        <v>5071</v>
      </c>
      <c r="C83" s="240" t="s">
        <v>9205</v>
      </c>
      <c r="D83" s="241" t="s">
        <v>11090</v>
      </c>
      <c r="E83" s="241" t="s">
        <v>11091</v>
      </c>
      <c r="F83" s="242" t="s">
        <v>11092</v>
      </c>
      <c r="G83" s="243">
        <v>1</v>
      </c>
      <c r="H83" s="243">
        <v>1</v>
      </c>
      <c r="I83" s="240" t="s">
        <v>11093</v>
      </c>
      <c r="J83" s="240" t="s">
        <v>568</v>
      </c>
      <c r="K83" s="243">
        <v>2023</v>
      </c>
      <c r="L83" s="240" t="s">
        <v>9186</v>
      </c>
      <c r="M83" s="242"/>
      <c r="N83" s="244" t="s">
        <v>11094</v>
      </c>
      <c r="O83"/>
    </row>
    <row r="84" spans="1:15" ht="26.4">
      <c r="A84" s="230">
        <v>83</v>
      </c>
      <c r="B84" s="240" t="s">
        <v>5071</v>
      </c>
      <c r="C84" s="240" t="s">
        <v>9243</v>
      </c>
      <c r="D84" s="241" t="s">
        <v>11095</v>
      </c>
      <c r="E84" s="241" t="s">
        <v>11096</v>
      </c>
      <c r="F84" s="242" t="s">
        <v>11097</v>
      </c>
      <c r="G84" s="243">
        <v>1</v>
      </c>
      <c r="H84" s="243">
        <v>1</v>
      </c>
      <c r="I84" s="240" t="s">
        <v>11098</v>
      </c>
      <c r="J84" s="240" t="s">
        <v>569</v>
      </c>
      <c r="K84" s="243">
        <v>2023</v>
      </c>
      <c r="L84" s="240" t="s">
        <v>9186</v>
      </c>
      <c r="M84" s="242"/>
      <c r="N84" s="244" t="s">
        <v>11099</v>
      </c>
      <c r="O84"/>
    </row>
    <row r="85" spans="1:15" ht="26.4">
      <c r="A85" s="230">
        <v>84</v>
      </c>
      <c r="B85" s="240" t="s">
        <v>5071</v>
      </c>
      <c r="C85" s="240" t="s">
        <v>9205</v>
      </c>
      <c r="D85" s="241" t="s">
        <v>11100</v>
      </c>
      <c r="E85" s="241" t="s">
        <v>11101</v>
      </c>
      <c r="F85" s="242" t="s">
        <v>11102</v>
      </c>
      <c r="G85" s="243">
        <v>1</v>
      </c>
      <c r="H85" s="243">
        <v>1</v>
      </c>
      <c r="I85" s="240" t="s">
        <v>11103</v>
      </c>
      <c r="J85" s="240" t="s">
        <v>568</v>
      </c>
      <c r="K85" s="243">
        <v>2023</v>
      </c>
      <c r="L85" s="240" t="s">
        <v>9186</v>
      </c>
      <c r="M85" s="242"/>
      <c r="N85" s="244" t="s">
        <v>11104</v>
      </c>
      <c r="O85"/>
    </row>
    <row r="86" spans="1:15">
      <c r="A86" s="230">
        <v>85</v>
      </c>
      <c r="B86" s="240" t="s">
        <v>5071</v>
      </c>
      <c r="C86" s="240" t="s">
        <v>9205</v>
      </c>
      <c r="D86" s="241" t="s">
        <v>11105</v>
      </c>
      <c r="E86" s="241" t="s">
        <v>11106</v>
      </c>
      <c r="F86" s="242" t="s">
        <v>11107</v>
      </c>
      <c r="G86" s="243">
        <v>1</v>
      </c>
      <c r="H86" s="243">
        <v>1</v>
      </c>
      <c r="I86" s="240" t="s">
        <v>10125</v>
      </c>
      <c r="J86" s="240" t="s">
        <v>568</v>
      </c>
      <c r="K86" s="243">
        <v>2023</v>
      </c>
      <c r="L86" s="240" t="s">
        <v>9186</v>
      </c>
      <c r="M86" s="242"/>
      <c r="N86" s="244" t="s">
        <v>11108</v>
      </c>
      <c r="O86"/>
    </row>
    <row r="87" spans="1:15">
      <c r="A87" s="230">
        <v>86</v>
      </c>
      <c r="B87" s="240" t="s">
        <v>5071</v>
      </c>
      <c r="C87" s="240" t="s">
        <v>11109</v>
      </c>
      <c r="D87" s="241" t="s">
        <v>11110</v>
      </c>
      <c r="E87" s="241" t="s">
        <v>11111</v>
      </c>
      <c r="F87" s="242" t="s">
        <v>11112</v>
      </c>
      <c r="G87" s="243">
        <v>1</v>
      </c>
      <c r="H87" s="243">
        <v>1</v>
      </c>
      <c r="I87" s="240" t="s">
        <v>11113</v>
      </c>
      <c r="J87" s="240" t="s">
        <v>569</v>
      </c>
      <c r="K87" s="243">
        <v>2023</v>
      </c>
      <c r="L87" s="240" t="s">
        <v>9186</v>
      </c>
      <c r="M87" s="242"/>
      <c r="N87" s="244" t="s">
        <v>11114</v>
      </c>
      <c r="O87"/>
    </row>
    <row r="88" spans="1:15">
      <c r="A88" s="230">
        <v>87</v>
      </c>
      <c r="B88" s="240" t="s">
        <v>5071</v>
      </c>
      <c r="C88" s="240" t="s">
        <v>9205</v>
      </c>
      <c r="D88" s="241" t="s">
        <v>11115</v>
      </c>
      <c r="E88" s="241" t="s">
        <v>11116</v>
      </c>
      <c r="F88" s="242" t="s">
        <v>11117</v>
      </c>
      <c r="G88" s="243">
        <v>1</v>
      </c>
      <c r="H88" s="243">
        <v>1</v>
      </c>
      <c r="I88" s="240" t="s">
        <v>11118</v>
      </c>
      <c r="J88" s="240" t="s">
        <v>568</v>
      </c>
      <c r="K88" s="243">
        <v>2023</v>
      </c>
      <c r="L88" s="240" t="s">
        <v>9186</v>
      </c>
      <c r="M88" s="242"/>
      <c r="N88" s="244" t="s">
        <v>11119</v>
      </c>
      <c r="O88"/>
    </row>
    <row r="89" spans="1:15" ht="26.4">
      <c r="A89" s="230">
        <v>88</v>
      </c>
      <c r="B89" s="240" t="s">
        <v>5071</v>
      </c>
      <c r="C89" s="240" t="s">
        <v>9188</v>
      </c>
      <c r="D89" s="241" t="s">
        <v>11120</v>
      </c>
      <c r="E89" s="241" t="s">
        <v>11121</v>
      </c>
      <c r="F89" s="242" t="s">
        <v>11122</v>
      </c>
      <c r="G89" s="243">
        <v>1</v>
      </c>
      <c r="H89" s="243">
        <v>1</v>
      </c>
      <c r="I89" s="240" t="s">
        <v>5242</v>
      </c>
      <c r="J89" s="240" t="s">
        <v>568</v>
      </c>
      <c r="K89" s="243">
        <v>2023</v>
      </c>
      <c r="L89" s="240" t="s">
        <v>9186</v>
      </c>
      <c r="M89" s="242"/>
      <c r="N89" s="244" t="s">
        <v>11123</v>
      </c>
      <c r="O89"/>
    </row>
    <row r="90" spans="1:15">
      <c r="A90" s="230">
        <v>89</v>
      </c>
      <c r="B90" s="240" t="s">
        <v>5071</v>
      </c>
      <c r="C90" s="240" t="s">
        <v>9243</v>
      </c>
      <c r="D90" s="241" t="s">
        <v>11124</v>
      </c>
      <c r="E90" s="241" t="s">
        <v>11125</v>
      </c>
      <c r="F90" s="242" t="s">
        <v>11126</v>
      </c>
      <c r="G90" s="243">
        <v>1</v>
      </c>
      <c r="H90" s="243">
        <v>1</v>
      </c>
      <c r="I90" s="240" t="s">
        <v>8654</v>
      </c>
      <c r="J90" s="240" t="s">
        <v>569</v>
      </c>
      <c r="K90" s="243">
        <v>2023</v>
      </c>
      <c r="L90" s="240" t="s">
        <v>9186</v>
      </c>
      <c r="M90" s="242"/>
      <c r="N90" s="244" t="s">
        <v>11127</v>
      </c>
      <c r="O90"/>
    </row>
    <row r="91" spans="1:15" ht="26.4">
      <c r="A91" s="230">
        <v>90</v>
      </c>
      <c r="B91" s="240" t="s">
        <v>5071</v>
      </c>
      <c r="C91" s="240" t="s">
        <v>9184</v>
      </c>
      <c r="D91" s="241" t="s">
        <v>11128</v>
      </c>
      <c r="E91" s="241" t="s">
        <v>11129</v>
      </c>
      <c r="F91" s="242" t="s">
        <v>11130</v>
      </c>
      <c r="G91" s="243">
        <v>1</v>
      </c>
      <c r="H91" s="243">
        <v>1</v>
      </c>
      <c r="I91" s="240" t="s">
        <v>3446</v>
      </c>
      <c r="J91" s="240" t="s">
        <v>569</v>
      </c>
      <c r="K91" s="243">
        <v>2023</v>
      </c>
      <c r="L91" s="240" t="s">
        <v>9186</v>
      </c>
      <c r="M91" s="242"/>
      <c r="N91" s="244" t="s">
        <v>11131</v>
      </c>
      <c r="O91"/>
    </row>
    <row r="92" spans="1:15" ht="26.4">
      <c r="A92" s="230">
        <v>91</v>
      </c>
      <c r="B92" s="240" t="s">
        <v>5071</v>
      </c>
      <c r="C92" s="240" t="s">
        <v>9243</v>
      </c>
      <c r="D92" s="241" t="s">
        <v>11132</v>
      </c>
      <c r="E92" s="241" t="s">
        <v>11133</v>
      </c>
      <c r="F92" s="242" t="s">
        <v>11134</v>
      </c>
      <c r="G92" s="243">
        <v>1</v>
      </c>
      <c r="H92" s="243">
        <v>1</v>
      </c>
      <c r="I92" s="240" t="s">
        <v>3446</v>
      </c>
      <c r="J92" s="240" t="s">
        <v>569</v>
      </c>
      <c r="K92" s="243">
        <v>2023</v>
      </c>
      <c r="L92" s="240" t="s">
        <v>9186</v>
      </c>
      <c r="M92" s="242"/>
      <c r="N92" s="244" t="s">
        <v>11135</v>
      </c>
      <c r="O92"/>
    </row>
    <row r="93" spans="1:15" ht="26.4">
      <c r="A93" s="230">
        <v>92</v>
      </c>
      <c r="B93" s="240" t="s">
        <v>5071</v>
      </c>
      <c r="C93" s="240" t="s">
        <v>9184</v>
      </c>
      <c r="D93" s="241" t="s">
        <v>11136</v>
      </c>
      <c r="E93" s="241" t="s">
        <v>11137</v>
      </c>
      <c r="F93" s="242" t="s">
        <v>11138</v>
      </c>
      <c r="G93" s="243">
        <v>1</v>
      </c>
      <c r="H93" s="243">
        <v>1</v>
      </c>
      <c r="I93" s="240" t="s">
        <v>11139</v>
      </c>
      <c r="J93" s="240" t="s">
        <v>569</v>
      </c>
      <c r="K93" s="243">
        <v>2023</v>
      </c>
      <c r="L93" s="240" t="s">
        <v>9186</v>
      </c>
      <c r="M93" s="242"/>
      <c r="N93" s="244" t="s">
        <v>11140</v>
      </c>
      <c r="O93"/>
    </row>
    <row r="94" spans="1:15">
      <c r="A94" s="230">
        <v>93</v>
      </c>
      <c r="B94" s="240" t="s">
        <v>5071</v>
      </c>
      <c r="C94" s="240" t="s">
        <v>11109</v>
      </c>
      <c r="D94" s="241" t="s">
        <v>11141</v>
      </c>
      <c r="E94" s="241" t="s">
        <v>11142</v>
      </c>
      <c r="F94" s="242" t="s">
        <v>11143</v>
      </c>
      <c r="G94" s="243">
        <v>1</v>
      </c>
      <c r="H94" s="243">
        <v>1</v>
      </c>
      <c r="I94" s="240" t="s">
        <v>11144</v>
      </c>
      <c r="J94" s="240" t="s">
        <v>569</v>
      </c>
      <c r="K94" s="243">
        <v>2023</v>
      </c>
      <c r="L94" s="240" t="s">
        <v>9186</v>
      </c>
      <c r="M94" s="242"/>
      <c r="N94" s="244" t="s">
        <v>11145</v>
      </c>
      <c r="O94"/>
    </row>
    <row r="95" spans="1:15" ht="26.4">
      <c r="A95" s="230">
        <v>94</v>
      </c>
      <c r="B95" s="240" t="s">
        <v>5071</v>
      </c>
      <c r="C95" s="240" t="s">
        <v>9406</v>
      </c>
      <c r="D95" s="241" t="s">
        <v>11146</v>
      </c>
      <c r="E95" s="241" t="s">
        <v>11147</v>
      </c>
      <c r="F95" s="242" t="s">
        <v>11148</v>
      </c>
      <c r="G95" s="243">
        <v>1</v>
      </c>
      <c r="H95" s="243">
        <v>1</v>
      </c>
      <c r="I95" s="240" t="s">
        <v>11149</v>
      </c>
      <c r="J95" s="240" t="s">
        <v>569</v>
      </c>
      <c r="K95" s="243">
        <v>2023</v>
      </c>
      <c r="L95" s="240" t="s">
        <v>9186</v>
      </c>
      <c r="M95" s="242"/>
      <c r="N95" s="244" t="s">
        <v>11150</v>
      </c>
      <c r="O95"/>
    </row>
    <row r="96" spans="1:15" ht="26.4">
      <c r="A96" s="230">
        <v>95</v>
      </c>
      <c r="B96" s="240" t="s">
        <v>5071</v>
      </c>
      <c r="C96" s="240" t="s">
        <v>9184</v>
      </c>
      <c r="D96" s="241" t="s">
        <v>11151</v>
      </c>
      <c r="E96" s="241" t="s">
        <v>11152</v>
      </c>
      <c r="F96" s="242" t="s">
        <v>11153</v>
      </c>
      <c r="G96" s="243">
        <v>1</v>
      </c>
      <c r="H96" s="243">
        <v>1</v>
      </c>
      <c r="I96" s="240" t="s">
        <v>11154</v>
      </c>
      <c r="J96" s="240" t="s">
        <v>569</v>
      </c>
      <c r="K96" s="243">
        <v>2023</v>
      </c>
      <c r="L96" s="240" t="s">
        <v>9186</v>
      </c>
      <c r="M96" s="242"/>
      <c r="N96" s="244" t="s">
        <v>11155</v>
      </c>
      <c r="O96"/>
    </row>
    <row r="97" spans="1:15" ht="26.4">
      <c r="A97" s="230">
        <v>96</v>
      </c>
      <c r="B97" s="240" t="s">
        <v>5071</v>
      </c>
      <c r="C97" s="240" t="s">
        <v>9201</v>
      </c>
      <c r="D97" s="241" t="s">
        <v>11156</v>
      </c>
      <c r="E97" s="241" t="s">
        <v>11157</v>
      </c>
      <c r="F97" s="242" t="s">
        <v>11158</v>
      </c>
      <c r="G97" s="243">
        <v>1</v>
      </c>
      <c r="H97" s="243">
        <v>1</v>
      </c>
      <c r="I97" s="240" t="s">
        <v>8668</v>
      </c>
      <c r="J97" s="240" t="s">
        <v>568</v>
      </c>
      <c r="K97" s="243">
        <v>2023</v>
      </c>
      <c r="L97" s="240" t="s">
        <v>9186</v>
      </c>
      <c r="M97" s="242"/>
      <c r="N97" s="244" t="s">
        <v>11159</v>
      </c>
      <c r="O97"/>
    </row>
    <row r="98" spans="1:15" ht="26.4">
      <c r="A98" s="230">
        <v>97</v>
      </c>
      <c r="B98" s="240" t="s">
        <v>5071</v>
      </c>
      <c r="C98" s="240" t="s">
        <v>9285</v>
      </c>
      <c r="D98" s="241" t="s">
        <v>11160</v>
      </c>
      <c r="E98" s="241" t="s">
        <v>11161</v>
      </c>
      <c r="F98" s="242" t="s">
        <v>11162</v>
      </c>
      <c r="G98" s="243">
        <v>1</v>
      </c>
      <c r="H98" s="243">
        <v>1</v>
      </c>
      <c r="I98" s="240" t="s">
        <v>11163</v>
      </c>
      <c r="J98" s="240" t="s">
        <v>569</v>
      </c>
      <c r="K98" s="243">
        <v>2023</v>
      </c>
      <c r="L98" s="240" t="s">
        <v>9186</v>
      </c>
      <c r="M98" s="242"/>
      <c r="N98" s="244" t="s">
        <v>11164</v>
      </c>
      <c r="O98"/>
    </row>
    <row r="99" spans="1:15" ht="26.4">
      <c r="A99" s="230">
        <v>98</v>
      </c>
      <c r="B99" s="240" t="s">
        <v>5071</v>
      </c>
      <c r="C99" s="240" t="s">
        <v>9205</v>
      </c>
      <c r="D99" s="241" t="s">
        <v>11165</v>
      </c>
      <c r="E99" s="241" t="s">
        <v>11166</v>
      </c>
      <c r="F99" s="242" t="s">
        <v>11167</v>
      </c>
      <c r="G99" s="243">
        <v>1</v>
      </c>
      <c r="H99" s="243">
        <v>1</v>
      </c>
      <c r="I99" s="240" t="s">
        <v>11168</v>
      </c>
      <c r="J99" s="240" t="s">
        <v>568</v>
      </c>
      <c r="K99" s="243">
        <v>2023</v>
      </c>
      <c r="L99" s="240" t="s">
        <v>9186</v>
      </c>
      <c r="M99" s="242"/>
      <c r="N99" s="244" t="s">
        <v>11169</v>
      </c>
      <c r="O99"/>
    </row>
    <row r="100" spans="1:15" ht="26.4">
      <c r="A100" s="230">
        <v>99</v>
      </c>
      <c r="B100" s="240" t="s">
        <v>5071</v>
      </c>
      <c r="C100" s="240" t="s">
        <v>9201</v>
      </c>
      <c r="D100" s="241" t="s">
        <v>11170</v>
      </c>
      <c r="E100" s="241" t="s">
        <v>11171</v>
      </c>
      <c r="F100" s="242" t="s">
        <v>11172</v>
      </c>
      <c r="G100" s="243">
        <v>1</v>
      </c>
      <c r="H100" s="243">
        <v>1</v>
      </c>
      <c r="I100" s="240" t="s">
        <v>11173</v>
      </c>
      <c r="J100" s="240" t="s">
        <v>568</v>
      </c>
      <c r="K100" s="243">
        <v>2023</v>
      </c>
      <c r="L100" s="240" t="s">
        <v>9186</v>
      </c>
      <c r="M100" s="242"/>
      <c r="N100" s="244" t="s">
        <v>11174</v>
      </c>
      <c r="O100"/>
    </row>
    <row r="101" spans="1:15" ht="26.4">
      <c r="A101" s="230">
        <v>100</v>
      </c>
      <c r="B101" s="240" t="s">
        <v>5071</v>
      </c>
      <c r="C101" s="240" t="s">
        <v>9201</v>
      </c>
      <c r="D101" s="241" t="s">
        <v>11175</v>
      </c>
      <c r="E101" s="241" t="s">
        <v>11176</v>
      </c>
      <c r="F101" s="242" t="s">
        <v>11177</v>
      </c>
      <c r="G101" s="243">
        <v>1</v>
      </c>
      <c r="H101" s="243">
        <v>1</v>
      </c>
      <c r="I101" s="240" t="s">
        <v>11178</v>
      </c>
      <c r="J101" s="240" t="s">
        <v>568</v>
      </c>
      <c r="K101" s="243">
        <v>2023</v>
      </c>
      <c r="L101" s="240" t="s">
        <v>9186</v>
      </c>
      <c r="M101" s="242"/>
      <c r="N101" s="244" t="s">
        <v>11179</v>
      </c>
      <c r="O101"/>
    </row>
    <row r="102" spans="1:15" ht="26.4">
      <c r="A102" s="230">
        <v>101</v>
      </c>
      <c r="B102" s="240" t="s">
        <v>5071</v>
      </c>
      <c r="C102" s="240" t="s">
        <v>9184</v>
      </c>
      <c r="D102" s="241" t="s">
        <v>11180</v>
      </c>
      <c r="E102" s="241" t="s">
        <v>11181</v>
      </c>
      <c r="F102" s="242" t="s">
        <v>11182</v>
      </c>
      <c r="G102" s="243">
        <v>1</v>
      </c>
      <c r="H102" s="243">
        <v>1</v>
      </c>
      <c r="I102" s="240" t="s">
        <v>11183</v>
      </c>
      <c r="J102" s="240" t="s">
        <v>569</v>
      </c>
      <c r="K102" s="243">
        <v>2023</v>
      </c>
      <c r="L102" s="240" t="s">
        <v>9186</v>
      </c>
      <c r="M102" s="242"/>
      <c r="N102" s="244" t="s">
        <v>11184</v>
      </c>
      <c r="O102"/>
    </row>
    <row r="103" spans="1:15">
      <c r="A103" s="230">
        <v>102</v>
      </c>
      <c r="B103" s="240" t="s">
        <v>5071</v>
      </c>
      <c r="C103" s="240" t="s">
        <v>11109</v>
      </c>
      <c r="D103" s="241" t="s">
        <v>11185</v>
      </c>
      <c r="E103" s="241" t="s">
        <v>11186</v>
      </c>
      <c r="F103" s="242" t="s">
        <v>11187</v>
      </c>
      <c r="G103" s="243">
        <v>1</v>
      </c>
      <c r="H103" s="243">
        <v>1</v>
      </c>
      <c r="I103" s="240" t="s">
        <v>11188</v>
      </c>
      <c r="J103" s="240" t="s">
        <v>569</v>
      </c>
      <c r="K103" s="243">
        <v>2023</v>
      </c>
      <c r="L103" s="240" t="s">
        <v>9186</v>
      </c>
      <c r="M103" s="242"/>
      <c r="N103" s="244" t="s">
        <v>11189</v>
      </c>
      <c r="O103"/>
    </row>
    <row r="104" spans="1:15">
      <c r="A104" s="230">
        <v>103</v>
      </c>
      <c r="B104" s="240" t="s">
        <v>5071</v>
      </c>
      <c r="C104" s="240" t="s">
        <v>9205</v>
      </c>
      <c r="D104" s="241" t="s">
        <v>11190</v>
      </c>
      <c r="E104" s="241" t="s">
        <v>11191</v>
      </c>
      <c r="F104" s="242" t="s">
        <v>11192</v>
      </c>
      <c r="G104" s="243">
        <v>1</v>
      </c>
      <c r="H104" s="243">
        <v>1</v>
      </c>
      <c r="I104" s="240" t="s">
        <v>11193</v>
      </c>
      <c r="J104" s="240" t="s">
        <v>568</v>
      </c>
      <c r="K104" s="243">
        <v>2023</v>
      </c>
      <c r="L104" s="240" t="s">
        <v>9186</v>
      </c>
      <c r="M104" s="242"/>
      <c r="N104" s="244" t="s">
        <v>11194</v>
      </c>
      <c r="O104"/>
    </row>
    <row r="105" spans="1:15" ht="26.4">
      <c r="A105" s="230">
        <v>104</v>
      </c>
      <c r="B105" s="240" t="s">
        <v>5071</v>
      </c>
      <c r="C105" s="240" t="s">
        <v>9205</v>
      </c>
      <c r="D105" s="241" t="s">
        <v>11195</v>
      </c>
      <c r="E105" s="241" t="s">
        <v>11196</v>
      </c>
      <c r="F105" s="242" t="s">
        <v>11197</v>
      </c>
      <c r="G105" s="243">
        <v>1</v>
      </c>
      <c r="H105" s="243">
        <v>1</v>
      </c>
      <c r="I105" s="240" t="s">
        <v>3446</v>
      </c>
      <c r="J105" s="240" t="s">
        <v>568</v>
      </c>
      <c r="K105" s="243">
        <v>2023</v>
      </c>
      <c r="L105" s="240" t="s">
        <v>9186</v>
      </c>
      <c r="M105" s="242"/>
      <c r="N105" s="244" t="s">
        <v>11198</v>
      </c>
      <c r="O105"/>
    </row>
    <row r="106" spans="1:15" ht="26.4">
      <c r="A106" s="230">
        <v>105</v>
      </c>
      <c r="B106" s="240" t="s">
        <v>5071</v>
      </c>
      <c r="C106" s="240" t="s">
        <v>9205</v>
      </c>
      <c r="D106" s="241" t="s">
        <v>11199</v>
      </c>
      <c r="E106" s="241" t="s">
        <v>11200</v>
      </c>
      <c r="F106" s="242" t="s">
        <v>11201</v>
      </c>
      <c r="G106" s="243">
        <v>1</v>
      </c>
      <c r="H106" s="243">
        <v>1</v>
      </c>
      <c r="I106" s="240" t="s">
        <v>11202</v>
      </c>
      <c r="J106" s="240" t="s">
        <v>568</v>
      </c>
      <c r="K106" s="243">
        <v>2023</v>
      </c>
      <c r="L106" s="240" t="s">
        <v>9186</v>
      </c>
      <c r="M106" s="242"/>
      <c r="N106" s="244" t="s">
        <v>11203</v>
      </c>
      <c r="O106"/>
    </row>
    <row r="107" spans="1:15" ht="26.4">
      <c r="A107" s="230">
        <v>106</v>
      </c>
      <c r="B107" s="240" t="s">
        <v>5071</v>
      </c>
      <c r="C107" s="240" t="s">
        <v>9184</v>
      </c>
      <c r="D107" s="241" t="s">
        <v>11204</v>
      </c>
      <c r="E107" s="241" t="s">
        <v>11205</v>
      </c>
      <c r="F107" s="242" t="s">
        <v>11206</v>
      </c>
      <c r="G107" s="243">
        <v>1</v>
      </c>
      <c r="H107" s="243">
        <v>1</v>
      </c>
      <c r="I107" s="240" t="s">
        <v>11207</v>
      </c>
      <c r="J107" s="240" t="s">
        <v>569</v>
      </c>
      <c r="K107" s="243">
        <v>2023</v>
      </c>
      <c r="L107" s="240" t="s">
        <v>9186</v>
      </c>
      <c r="M107" s="242"/>
      <c r="N107" s="244" t="s">
        <v>11208</v>
      </c>
      <c r="O107"/>
    </row>
    <row r="108" spans="1:15" ht="26.4">
      <c r="A108" s="230">
        <v>107</v>
      </c>
      <c r="B108" s="240" t="s">
        <v>5071</v>
      </c>
      <c r="C108" s="240" t="s">
        <v>9205</v>
      </c>
      <c r="D108" s="241" t="s">
        <v>11209</v>
      </c>
      <c r="E108" s="241" t="s">
        <v>11210</v>
      </c>
      <c r="F108" s="242" t="s">
        <v>11211</v>
      </c>
      <c r="G108" s="243">
        <v>1</v>
      </c>
      <c r="H108" s="243">
        <v>1</v>
      </c>
      <c r="I108" s="240" t="s">
        <v>2573</v>
      </c>
      <c r="J108" s="240" t="s">
        <v>568</v>
      </c>
      <c r="K108" s="243">
        <v>2023</v>
      </c>
      <c r="L108" s="240" t="s">
        <v>9186</v>
      </c>
      <c r="M108" s="242"/>
      <c r="N108" s="244" t="s">
        <v>11212</v>
      </c>
      <c r="O108"/>
    </row>
    <row r="109" spans="1:15" ht="26.4">
      <c r="A109" s="230">
        <v>108</v>
      </c>
      <c r="B109" s="240" t="s">
        <v>5071</v>
      </c>
      <c r="C109" s="240" t="s">
        <v>9228</v>
      </c>
      <c r="D109" s="241" t="s">
        <v>11213</v>
      </c>
      <c r="E109" s="241" t="s">
        <v>11214</v>
      </c>
      <c r="F109" s="242" t="s">
        <v>11215</v>
      </c>
      <c r="G109" s="243">
        <v>1</v>
      </c>
      <c r="H109" s="243">
        <v>1</v>
      </c>
      <c r="I109" s="240" t="s">
        <v>11216</v>
      </c>
      <c r="J109" s="240" t="s">
        <v>568</v>
      </c>
      <c r="K109" s="243">
        <v>2023</v>
      </c>
      <c r="L109" s="240" t="s">
        <v>9186</v>
      </c>
      <c r="M109" s="242"/>
      <c r="N109" s="244" t="s">
        <v>11217</v>
      </c>
      <c r="O109"/>
    </row>
    <row r="110" spans="1:15" ht="26.4">
      <c r="A110" s="230">
        <v>109</v>
      </c>
      <c r="B110" s="240" t="s">
        <v>5071</v>
      </c>
      <c r="C110" s="240" t="s">
        <v>9205</v>
      </c>
      <c r="D110" s="241" t="s">
        <v>11218</v>
      </c>
      <c r="E110" s="241" t="s">
        <v>11219</v>
      </c>
      <c r="F110" s="242" t="s">
        <v>11220</v>
      </c>
      <c r="G110" s="243">
        <v>1</v>
      </c>
      <c r="H110" s="243">
        <v>1</v>
      </c>
      <c r="I110" s="240" t="s">
        <v>11221</v>
      </c>
      <c r="J110" s="240" t="s">
        <v>568</v>
      </c>
      <c r="K110" s="243">
        <v>2023</v>
      </c>
      <c r="L110" s="240" t="s">
        <v>9186</v>
      </c>
      <c r="M110" s="242"/>
      <c r="N110" s="244" t="s">
        <v>11222</v>
      </c>
      <c r="O110"/>
    </row>
    <row r="111" spans="1:15" ht="26.4">
      <c r="A111" s="230">
        <v>110</v>
      </c>
      <c r="B111" s="240" t="s">
        <v>5071</v>
      </c>
      <c r="C111" s="240" t="s">
        <v>9201</v>
      </c>
      <c r="D111" s="241" t="s">
        <v>11223</v>
      </c>
      <c r="E111" s="241" t="s">
        <v>11224</v>
      </c>
      <c r="F111" s="242" t="s">
        <v>11225</v>
      </c>
      <c r="G111" s="243">
        <v>1</v>
      </c>
      <c r="H111" s="243">
        <v>1</v>
      </c>
      <c r="I111" s="240" t="s">
        <v>11226</v>
      </c>
      <c r="J111" s="240" t="s">
        <v>568</v>
      </c>
      <c r="K111" s="243">
        <v>2023</v>
      </c>
      <c r="L111" s="240" t="s">
        <v>9186</v>
      </c>
      <c r="M111" s="242"/>
      <c r="N111" s="244" t="s">
        <v>11227</v>
      </c>
      <c r="O111"/>
    </row>
    <row r="112" spans="1:15">
      <c r="A112" s="230">
        <v>111</v>
      </c>
      <c r="B112" s="240" t="s">
        <v>5071</v>
      </c>
      <c r="C112" s="240" t="s">
        <v>9205</v>
      </c>
      <c r="D112" s="241" t="s">
        <v>11228</v>
      </c>
      <c r="E112" s="241" t="s">
        <v>11229</v>
      </c>
      <c r="F112" s="242" t="s">
        <v>11230</v>
      </c>
      <c r="G112" s="243">
        <v>1</v>
      </c>
      <c r="H112" s="243">
        <v>1</v>
      </c>
      <c r="I112" s="240" t="s">
        <v>7126</v>
      </c>
      <c r="J112" s="240" t="s">
        <v>568</v>
      </c>
      <c r="K112" s="243">
        <v>2023</v>
      </c>
      <c r="L112" s="240" t="s">
        <v>9186</v>
      </c>
      <c r="M112" s="242"/>
      <c r="N112" s="244" t="s">
        <v>11231</v>
      </c>
      <c r="O112"/>
    </row>
    <row r="113" spans="1:15">
      <c r="A113" s="230">
        <v>112</v>
      </c>
      <c r="B113" s="240" t="s">
        <v>5071</v>
      </c>
      <c r="C113" s="240" t="s">
        <v>9285</v>
      </c>
      <c r="D113" s="241" t="s">
        <v>11232</v>
      </c>
      <c r="E113" s="241" t="s">
        <v>11233</v>
      </c>
      <c r="F113" s="242" t="s">
        <v>11234</v>
      </c>
      <c r="G113" s="243">
        <v>1</v>
      </c>
      <c r="H113" s="243">
        <v>1</v>
      </c>
      <c r="I113" s="240" t="s">
        <v>11235</v>
      </c>
      <c r="J113" s="240" t="s">
        <v>569</v>
      </c>
      <c r="K113" s="243">
        <v>2023</v>
      </c>
      <c r="L113" s="240" t="s">
        <v>9186</v>
      </c>
      <c r="M113" s="242"/>
      <c r="N113" s="244" t="s">
        <v>11236</v>
      </c>
      <c r="O113"/>
    </row>
    <row r="114" spans="1:15" ht="26.4">
      <c r="A114" s="230">
        <v>113</v>
      </c>
      <c r="B114" s="240" t="s">
        <v>5071</v>
      </c>
      <c r="C114" s="240" t="s">
        <v>9336</v>
      </c>
      <c r="D114" s="241" t="s">
        <v>11237</v>
      </c>
      <c r="E114" s="241" t="s">
        <v>11238</v>
      </c>
      <c r="F114" s="242" t="s">
        <v>11239</v>
      </c>
      <c r="G114" s="243">
        <v>1</v>
      </c>
      <c r="H114" s="243">
        <v>1</v>
      </c>
      <c r="I114" s="240" t="s">
        <v>11240</v>
      </c>
      <c r="J114" s="240" t="s">
        <v>569</v>
      </c>
      <c r="K114" s="243">
        <v>2023</v>
      </c>
      <c r="L114" s="240" t="s">
        <v>9186</v>
      </c>
      <c r="M114" s="242"/>
      <c r="N114" s="244" t="s">
        <v>11241</v>
      </c>
      <c r="O114"/>
    </row>
    <row r="115" spans="1:15" ht="26.4">
      <c r="A115" s="230">
        <v>114</v>
      </c>
      <c r="B115" s="240" t="s">
        <v>5071</v>
      </c>
      <c r="C115" s="240" t="s">
        <v>9184</v>
      </c>
      <c r="D115" s="241" t="s">
        <v>11242</v>
      </c>
      <c r="E115" s="241" t="s">
        <v>11243</v>
      </c>
      <c r="F115" s="242" t="s">
        <v>11244</v>
      </c>
      <c r="G115" s="243">
        <v>1</v>
      </c>
      <c r="H115" s="243">
        <v>1</v>
      </c>
      <c r="I115" s="240" t="s">
        <v>10183</v>
      </c>
      <c r="J115" s="240" t="s">
        <v>569</v>
      </c>
      <c r="K115" s="243">
        <v>2023</v>
      </c>
      <c r="L115" s="240" t="s">
        <v>9186</v>
      </c>
      <c r="M115" s="242"/>
      <c r="N115" s="244" t="s">
        <v>11245</v>
      </c>
      <c r="O115"/>
    </row>
    <row r="116" spans="1:15" ht="26.4">
      <c r="A116" s="230">
        <v>115</v>
      </c>
      <c r="B116" s="240" t="s">
        <v>5071</v>
      </c>
      <c r="C116" s="240" t="s">
        <v>9243</v>
      </c>
      <c r="D116" s="241" t="s">
        <v>11246</v>
      </c>
      <c r="E116" s="241" t="s">
        <v>11247</v>
      </c>
      <c r="F116" s="242" t="s">
        <v>11248</v>
      </c>
      <c r="G116" s="243">
        <v>1</v>
      </c>
      <c r="H116" s="243">
        <v>1</v>
      </c>
      <c r="I116" s="240" t="s">
        <v>11249</v>
      </c>
      <c r="J116" s="240" t="s">
        <v>569</v>
      </c>
      <c r="K116" s="243">
        <v>2023</v>
      </c>
      <c r="L116" s="240" t="s">
        <v>9186</v>
      </c>
      <c r="M116" s="242"/>
      <c r="N116" s="244" t="s">
        <v>11250</v>
      </c>
      <c r="O116"/>
    </row>
    <row r="117" spans="1:15">
      <c r="A117" s="230">
        <v>116</v>
      </c>
      <c r="B117" s="240" t="s">
        <v>5071</v>
      </c>
      <c r="C117" s="240" t="s">
        <v>9205</v>
      </c>
      <c r="D117" s="241" t="s">
        <v>11251</v>
      </c>
      <c r="E117" s="241" t="s">
        <v>11252</v>
      </c>
      <c r="F117" s="242" t="s">
        <v>11253</v>
      </c>
      <c r="G117" s="243">
        <v>1</v>
      </c>
      <c r="H117" s="243">
        <v>1</v>
      </c>
      <c r="I117" s="240" t="s">
        <v>11254</v>
      </c>
      <c r="J117" s="240" t="s">
        <v>561</v>
      </c>
      <c r="K117" s="243">
        <v>2023</v>
      </c>
      <c r="L117" s="240" t="s">
        <v>9186</v>
      </c>
      <c r="M117" s="242"/>
      <c r="N117" s="244" t="s">
        <v>11255</v>
      </c>
      <c r="O117"/>
    </row>
    <row r="118" spans="1:15" ht="26.4">
      <c r="A118" s="230">
        <v>117</v>
      </c>
      <c r="B118" s="240" t="s">
        <v>5071</v>
      </c>
      <c r="C118" s="240" t="s">
        <v>9406</v>
      </c>
      <c r="D118" s="241" t="s">
        <v>11256</v>
      </c>
      <c r="E118" s="241" t="s">
        <v>11257</v>
      </c>
      <c r="F118" s="242" t="s">
        <v>11258</v>
      </c>
      <c r="G118" s="243">
        <v>1</v>
      </c>
      <c r="H118" s="243">
        <v>1</v>
      </c>
      <c r="I118" s="240" t="s">
        <v>11259</v>
      </c>
      <c r="J118" s="240" t="s">
        <v>569</v>
      </c>
      <c r="K118" s="243">
        <v>2023</v>
      </c>
      <c r="L118" s="240" t="s">
        <v>9186</v>
      </c>
      <c r="M118" s="242"/>
      <c r="N118" s="244" t="s">
        <v>11260</v>
      </c>
      <c r="O118"/>
    </row>
    <row r="119" spans="1:15" ht="26.4">
      <c r="A119" s="230">
        <v>118</v>
      </c>
      <c r="B119" s="240" t="s">
        <v>5071</v>
      </c>
      <c r="C119" s="240" t="s">
        <v>9201</v>
      </c>
      <c r="D119" s="241" t="s">
        <v>11261</v>
      </c>
      <c r="E119" s="241" t="s">
        <v>11262</v>
      </c>
      <c r="F119" s="242" t="s">
        <v>11263</v>
      </c>
      <c r="G119" s="243">
        <v>1</v>
      </c>
      <c r="H119" s="243">
        <v>1</v>
      </c>
      <c r="I119" s="240" t="s">
        <v>11264</v>
      </c>
      <c r="J119" s="240" t="s">
        <v>568</v>
      </c>
      <c r="K119" s="243">
        <v>2023</v>
      </c>
      <c r="L119" s="240" t="s">
        <v>9186</v>
      </c>
      <c r="M119" s="242"/>
      <c r="N119" s="244" t="s">
        <v>11265</v>
      </c>
      <c r="O119"/>
    </row>
    <row r="120" spans="1:15">
      <c r="A120" s="230">
        <v>119</v>
      </c>
      <c r="B120" s="240" t="s">
        <v>5071</v>
      </c>
      <c r="C120" s="240" t="s">
        <v>11109</v>
      </c>
      <c r="D120" s="241" t="s">
        <v>11266</v>
      </c>
      <c r="E120" s="241" t="s">
        <v>11267</v>
      </c>
      <c r="F120" s="242" t="s">
        <v>11268</v>
      </c>
      <c r="G120" s="243">
        <v>1</v>
      </c>
      <c r="H120" s="243">
        <v>1</v>
      </c>
      <c r="I120" s="240" t="s">
        <v>11269</v>
      </c>
      <c r="J120" s="240" t="s">
        <v>569</v>
      </c>
      <c r="K120" s="243">
        <v>2023</v>
      </c>
      <c r="L120" s="240" t="s">
        <v>9186</v>
      </c>
      <c r="M120" s="242"/>
      <c r="N120" s="244" t="s">
        <v>11270</v>
      </c>
      <c r="O120"/>
    </row>
    <row r="121" spans="1:15">
      <c r="A121" s="230">
        <v>120</v>
      </c>
      <c r="B121" s="240" t="s">
        <v>5071</v>
      </c>
      <c r="C121" s="240" t="s">
        <v>9188</v>
      </c>
      <c r="D121" s="241" t="s">
        <v>11271</v>
      </c>
      <c r="E121" s="241" t="s">
        <v>11272</v>
      </c>
      <c r="F121" s="242" t="s">
        <v>11273</v>
      </c>
      <c r="G121" s="243">
        <v>1</v>
      </c>
      <c r="H121" s="243">
        <v>1</v>
      </c>
      <c r="I121" s="240" t="s">
        <v>11274</v>
      </c>
      <c r="J121" s="240" t="s">
        <v>568</v>
      </c>
      <c r="K121" s="243">
        <v>2023</v>
      </c>
      <c r="L121" s="240" t="s">
        <v>9186</v>
      </c>
      <c r="M121" s="242"/>
      <c r="N121" s="244" t="s">
        <v>11275</v>
      </c>
      <c r="O121"/>
    </row>
    <row r="122" spans="1:15" ht="26.4">
      <c r="A122" s="230">
        <v>121</v>
      </c>
      <c r="B122" s="240" t="s">
        <v>5071</v>
      </c>
      <c r="C122" s="240" t="s">
        <v>9205</v>
      </c>
      <c r="D122" s="241" t="s">
        <v>11276</v>
      </c>
      <c r="E122" s="241" t="s">
        <v>11277</v>
      </c>
      <c r="F122" s="242" t="s">
        <v>11278</v>
      </c>
      <c r="G122" s="243">
        <v>1</v>
      </c>
      <c r="H122" s="243">
        <v>1</v>
      </c>
      <c r="I122" s="240" t="s">
        <v>11279</v>
      </c>
      <c r="J122" s="240" t="s">
        <v>568</v>
      </c>
      <c r="K122" s="243">
        <v>2023</v>
      </c>
      <c r="L122" s="240" t="s">
        <v>9186</v>
      </c>
      <c r="M122" s="242"/>
      <c r="N122" s="244" t="s">
        <v>11280</v>
      </c>
      <c r="O122"/>
    </row>
    <row r="123" spans="1:15">
      <c r="A123" s="230">
        <v>122</v>
      </c>
      <c r="B123" s="240" t="s">
        <v>5071</v>
      </c>
      <c r="C123" s="240" t="s">
        <v>9386</v>
      </c>
      <c r="D123" s="241" t="s">
        <v>11281</v>
      </c>
      <c r="E123" s="241" t="s">
        <v>11282</v>
      </c>
      <c r="F123" s="242" t="s">
        <v>11283</v>
      </c>
      <c r="G123" s="243">
        <v>1</v>
      </c>
      <c r="H123" s="243">
        <v>1</v>
      </c>
      <c r="I123" s="240" t="s">
        <v>11284</v>
      </c>
      <c r="J123" s="240" t="s">
        <v>569</v>
      </c>
      <c r="K123" s="243">
        <v>2023</v>
      </c>
      <c r="L123" s="240" t="s">
        <v>9186</v>
      </c>
      <c r="M123" s="242"/>
      <c r="N123" s="244" t="s">
        <v>11285</v>
      </c>
      <c r="O123"/>
    </row>
    <row r="124" spans="1:15" ht="26.4">
      <c r="A124" s="230">
        <v>123</v>
      </c>
      <c r="B124" s="240" t="s">
        <v>5071</v>
      </c>
      <c r="C124" s="240" t="s">
        <v>9205</v>
      </c>
      <c r="D124" s="241" t="s">
        <v>11286</v>
      </c>
      <c r="E124" s="241" t="s">
        <v>11287</v>
      </c>
      <c r="F124" s="242" t="s">
        <v>11288</v>
      </c>
      <c r="G124" s="243">
        <v>1</v>
      </c>
      <c r="H124" s="243">
        <v>1</v>
      </c>
      <c r="I124" s="240" t="s">
        <v>9819</v>
      </c>
      <c r="J124" s="240" t="s">
        <v>568</v>
      </c>
      <c r="K124" s="243">
        <v>2023</v>
      </c>
      <c r="L124" s="240" t="s">
        <v>9186</v>
      </c>
      <c r="M124" s="242"/>
      <c r="N124" s="244" t="s">
        <v>11289</v>
      </c>
      <c r="O124"/>
    </row>
    <row r="125" spans="1:15" ht="26.4">
      <c r="A125" s="230">
        <v>124</v>
      </c>
      <c r="B125" s="240" t="s">
        <v>5071</v>
      </c>
      <c r="C125" s="240" t="s">
        <v>9201</v>
      </c>
      <c r="D125" s="241" t="s">
        <v>11290</v>
      </c>
      <c r="E125" s="241" t="s">
        <v>11291</v>
      </c>
      <c r="F125" s="242" t="s">
        <v>11292</v>
      </c>
      <c r="G125" s="243">
        <v>1</v>
      </c>
      <c r="H125" s="243">
        <v>1</v>
      </c>
      <c r="I125" s="240" t="s">
        <v>11293</v>
      </c>
      <c r="J125" s="240" t="s">
        <v>568</v>
      </c>
      <c r="K125" s="243">
        <v>2023</v>
      </c>
      <c r="L125" s="240" t="s">
        <v>9186</v>
      </c>
      <c r="M125" s="242"/>
      <c r="N125" s="244" t="s">
        <v>11294</v>
      </c>
      <c r="O125"/>
    </row>
    <row r="126" spans="1:15" ht="26.4">
      <c r="A126" s="230">
        <v>125</v>
      </c>
      <c r="B126" s="240" t="s">
        <v>5071</v>
      </c>
      <c r="C126" s="240" t="s">
        <v>9184</v>
      </c>
      <c r="D126" s="241" t="s">
        <v>11295</v>
      </c>
      <c r="E126" s="241" t="s">
        <v>11296</v>
      </c>
      <c r="F126" s="242" t="s">
        <v>11297</v>
      </c>
      <c r="G126" s="243">
        <v>1</v>
      </c>
      <c r="H126" s="243">
        <v>1</v>
      </c>
      <c r="I126" s="240" t="s">
        <v>11298</v>
      </c>
      <c r="J126" s="240" t="s">
        <v>569</v>
      </c>
      <c r="K126" s="243">
        <v>2023</v>
      </c>
      <c r="L126" s="240" t="s">
        <v>9186</v>
      </c>
      <c r="M126" s="242"/>
      <c r="N126" s="244" t="s">
        <v>11299</v>
      </c>
      <c r="O126"/>
    </row>
    <row r="127" spans="1:15" ht="26.4">
      <c r="A127" s="230">
        <v>126</v>
      </c>
      <c r="B127" s="240" t="s">
        <v>5071</v>
      </c>
      <c r="C127" s="240" t="s">
        <v>9205</v>
      </c>
      <c r="D127" s="241" t="s">
        <v>11300</v>
      </c>
      <c r="E127" s="241" t="s">
        <v>11301</v>
      </c>
      <c r="F127" s="242" t="s">
        <v>11302</v>
      </c>
      <c r="G127" s="243">
        <v>1</v>
      </c>
      <c r="H127" s="243">
        <v>1</v>
      </c>
      <c r="I127" s="240" t="s">
        <v>11303</v>
      </c>
      <c r="J127" s="240" t="s">
        <v>568</v>
      </c>
      <c r="K127" s="243">
        <v>2023</v>
      </c>
      <c r="L127" s="240" t="s">
        <v>9186</v>
      </c>
      <c r="M127" s="242"/>
      <c r="N127" s="244" t="s">
        <v>11304</v>
      </c>
      <c r="O127"/>
    </row>
    <row r="128" spans="1:15" ht="26.4">
      <c r="A128" s="230">
        <v>127</v>
      </c>
      <c r="B128" s="240" t="s">
        <v>5071</v>
      </c>
      <c r="C128" s="240" t="s">
        <v>9205</v>
      </c>
      <c r="D128" s="241" t="s">
        <v>11305</v>
      </c>
      <c r="E128" s="241" t="s">
        <v>11306</v>
      </c>
      <c r="F128" s="242" t="s">
        <v>11307</v>
      </c>
      <c r="G128" s="243">
        <v>1</v>
      </c>
      <c r="H128" s="243">
        <v>1</v>
      </c>
      <c r="I128" s="240" t="s">
        <v>11308</v>
      </c>
      <c r="J128" s="240" t="s">
        <v>568</v>
      </c>
      <c r="K128" s="243">
        <v>2023</v>
      </c>
      <c r="L128" s="240" t="s">
        <v>9186</v>
      </c>
      <c r="M128" s="242"/>
      <c r="N128" s="244" t="s">
        <v>11309</v>
      </c>
      <c r="O128"/>
    </row>
    <row r="129" spans="1:15" ht="26.4">
      <c r="A129" s="230">
        <v>128</v>
      </c>
      <c r="B129" s="240" t="s">
        <v>5071</v>
      </c>
      <c r="C129" s="240" t="s">
        <v>9205</v>
      </c>
      <c r="D129" s="241" t="s">
        <v>11310</v>
      </c>
      <c r="E129" s="241" t="s">
        <v>11311</v>
      </c>
      <c r="F129" s="242" t="s">
        <v>11312</v>
      </c>
      <c r="G129" s="243">
        <v>1</v>
      </c>
      <c r="H129" s="243">
        <v>1</v>
      </c>
      <c r="I129" s="240" t="s">
        <v>7124</v>
      </c>
      <c r="J129" s="240" t="s">
        <v>568</v>
      </c>
      <c r="K129" s="243">
        <v>2023</v>
      </c>
      <c r="L129" s="240" t="s">
        <v>9186</v>
      </c>
      <c r="M129" s="242"/>
      <c r="N129" s="244" t="s">
        <v>11313</v>
      </c>
      <c r="O129"/>
    </row>
    <row r="130" spans="1:15" ht="26.4">
      <c r="A130" s="230">
        <v>129</v>
      </c>
      <c r="B130" s="240" t="s">
        <v>5071</v>
      </c>
      <c r="C130" s="240" t="s">
        <v>9386</v>
      </c>
      <c r="D130" s="241" t="s">
        <v>11314</v>
      </c>
      <c r="E130" s="241" t="s">
        <v>11315</v>
      </c>
      <c r="F130" s="242" t="s">
        <v>11316</v>
      </c>
      <c r="G130" s="243">
        <v>1</v>
      </c>
      <c r="H130" s="243">
        <v>1</v>
      </c>
      <c r="I130" s="240" t="s">
        <v>1863</v>
      </c>
      <c r="J130" s="240" t="s">
        <v>569</v>
      </c>
      <c r="K130" s="243">
        <v>2023</v>
      </c>
      <c r="L130" s="240" t="s">
        <v>9186</v>
      </c>
      <c r="M130" s="242"/>
      <c r="N130" s="244" t="s">
        <v>11317</v>
      </c>
      <c r="O130"/>
    </row>
    <row r="131" spans="1:15" ht="26.4">
      <c r="A131" s="230">
        <v>130</v>
      </c>
      <c r="B131" s="240" t="s">
        <v>5071</v>
      </c>
      <c r="C131" s="240" t="s">
        <v>9188</v>
      </c>
      <c r="D131" s="241" t="s">
        <v>11318</v>
      </c>
      <c r="E131" s="241" t="s">
        <v>11319</v>
      </c>
      <c r="F131" s="242" t="s">
        <v>11320</v>
      </c>
      <c r="G131" s="243">
        <v>1</v>
      </c>
      <c r="H131" s="243">
        <v>1</v>
      </c>
      <c r="I131" s="240" t="s">
        <v>8832</v>
      </c>
      <c r="J131" s="240" t="s">
        <v>568</v>
      </c>
      <c r="K131" s="243">
        <v>2023</v>
      </c>
      <c r="L131" s="240" t="s">
        <v>9186</v>
      </c>
      <c r="M131" s="242"/>
      <c r="N131" s="244" t="s">
        <v>11321</v>
      </c>
      <c r="O131"/>
    </row>
    <row r="132" spans="1:15" ht="26.4">
      <c r="A132" s="230">
        <v>131</v>
      </c>
      <c r="B132" s="240" t="s">
        <v>5413</v>
      </c>
      <c r="C132" s="240" t="s">
        <v>9560</v>
      </c>
      <c r="D132" s="241" t="s">
        <v>11322</v>
      </c>
      <c r="E132" s="241" t="s">
        <v>11323</v>
      </c>
      <c r="F132" s="242" t="s">
        <v>11324</v>
      </c>
      <c r="G132" s="243">
        <v>1</v>
      </c>
      <c r="H132" s="243">
        <v>1</v>
      </c>
      <c r="I132" s="240" t="s">
        <v>8685</v>
      </c>
      <c r="J132" s="240" t="s">
        <v>561</v>
      </c>
      <c r="K132" s="243">
        <v>2021</v>
      </c>
      <c r="L132" s="240" t="s">
        <v>9186</v>
      </c>
      <c r="M132" s="242"/>
      <c r="N132" s="244" t="s">
        <v>11325</v>
      </c>
      <c r="O132"/>
    </row>
    <row r="133" spans="1:15" ht="26.4">
      <c r="A133" s="230">
        <v>132</v>
      </c>
      <c r="B133" s="240" t="s">
        <v>5413</v>
      </c>
      <c r="C133" s="240" t="s">
        <v>9515</v>
      </c>
      <c r="D133" s="241" t="s">
        <v>11326</v>
      </c>
      <c r="E133" s="241" t="s">
        <v>11327</v>
      </c>
      <c r="F133" s="242" t="s">
        <v>11328</v>
      </c>
      <c r="G133" s="243">
        <v>1</v>
      </c>
      <c r="H133" s="243">
        <v>1</v>
      </c>
      <c r="I133" s="240" t="s">
        <v>11329</v>
      </c>
      <c r="J133" s="240" t="s">
        <v>561</v>
      </c>
      <c r="K133" s="243">
        <v>2021</v>
      </c>
      <c r="L133" s="240" t="s">
        <v>9186</v>
      </c>
      <c r="M133" s="242"/>
      <c r="N133" s="244" t="s">
        <v>11330</v>
      </c>
      <c r="O133"/>
    </row>
    <row r="134" spans="1:15">
      <c r="A134" s="230">
        <v>133</v>
      </c>
      <c r="B134" s="240" t="s">
        <v>5413</v>
      </c>
      <c r="C134" s="240" t="s">
        <v>9515</v>
      </c>
      <c r="D134" s="241" t="s">
        <v>11331</v>
      </c>
      <c r="E134" s="241" t="s">
        <v>11332</v>
      </c>
      <c r="F134" s="242" t="s">
        <v>11333</v>
      </c>
      <c r="G134" s="243">
        <v>1</v>
      </c>
      <c r="H134" s="243">
        <v>1</v>
      </c>
      <c r="I134" s="240" t="s">
        <v>11334</v>
      </c>
      <c r="J134" s="240" t="s">
        <v>561</v>
      </c>
      <c r="K134" s="243">
        <v>2022</v>
      </c>
      <c r="L134" s="240" t="s">
        <v>9186</v>
      </c>
      <c r="M134" s="242"/>
      <c r="N134" s="244" t="s">
        <v>11335</v>
      </c>
      <c r="O134"/>
    </row>
    <row r="135" spans="1:15" ht="26.4">
      <c r="A135" s="230">
        <v>134</v>
      </c>
      <c r="B135" s="240" t="s">
        <v>5413</v>
      </c>
      <c r="C135" s="240" t="s">
        <v>9560</v>
      </c>
      <c r="D135" s="241" t="s">
        <v>11336</v>
      </c>
      <c r="E135" s="241" t="s">
        <v>11337</v>
      </c>
      <c r="F135" s="242" t="s">
        <v>11338</v>
      </c>
      <c r="G135" s="243">
        <v>1</v>
      </c>
      <c r="H135" s="243">
        <v>1</v>
      </c>
      <c r="I135" s="240" t="s">
        <v>11339</v>
      </c>
      <c r="J135" s="240" t="s">
        <v>561</v>
      </c>
      <c r="K135" s="243">
        <v>2022</v>
      </c>
      <c r="L135" s="240" t="s">
        <v>9186</v>
      </c>
      <c r="M135" s="242"/>
      <c r="N135" s="244" t="s">
        <v>11340</v>
      </c>
      <c r="O135"/>
    </row>
    <row r="136" spans="1:15">
      <c r="A136" s="230">
        <v>135</v>
      </c>
      <c r="B136" s="240" t="s">
        <v>5413</v>
      </c>
      <c r="C136" s="240" t="s">
        <v>9515</v>
      </c>
      <c r="D136" s="241" t="s">
        <v>11341</v>
      </c>
      <c r="E136" s="241" t="s">
        <v>11342</v>
      </c>
      <c r="F136" s="242" t="s">
        <v>11343</v>
      </c>
      <c r="G136" s="243">
        <v>1</v>
      </c>
      <c r="H136" s="243">
        <v>1</v>
      </c>
      <c r="I136" s="240" t="s">
        <v>11344</v>
      </c>
      <c r="J136" s="240" t="s">
        <v>561</v>
      </c>
      <c r="K136" s="243">
        <v>2022</v>
      </c>
      <c r="L136" s="240" t="s">
        <v>9186</v>
      </c>
      <c r="M136" s="242"/>
      <c r="N136" s="244" t="s">
        <v>11345</v>
      </c>
      <c r="O136"/>
    </row>
    <row r="137" spans="1:15" ht="26.4">
      <c r="A137" s="230">
        <v>136</v>
      </c>
      <c r="B137" s="240" t="s">
        <v>5413</v>
      </c>
      <c r="C137" s="240" t="s">
        <v>9556</v>
      </c>
      <c r="D137" s="241" t="s">
        <v>11346</v>
      </c>
      <c r="E137" s="241" t="s">
        <v>11347</v>
      </c>
      <c r="F137" s="242" t="s">
        <v>11348</v>
      </c>
      <c r="G137" s="243">
        <v>1</v>
      </c>
      <c r="H137" s="243">
        <v>1</v>
      </c>
      <c r="I137" s="240" t="s">
        <v>8916</v>
      </c>
      <c r="J137" s="240" t="s">
        <v>561</v>
      </c>
      <c r="K137" s="243">
        <v>2022</v>
      </c>
      <c r="L137" s="240" t="s">
        <v>9186</v>
      </c>
      <c r="M137" s="242"/>
      <c r="N137" s="244" t="s">
        <v>11349</v>
      </c>
      <c r="O137"/>
    </row>
    <row r="138" spans="1:15" ht="26.4">
      <c r="A138" s="230">
        <v>137</v>
      </c>
      <c r="B138" s="240" t="s">
        <v>5413</v>
      </c>
      <c r="C138" s="240" t="s">
        <v>9515</v>
      </c>
      <c r="D138" s="241" t="s">
        <v>11350</v>
      </c>
      <c r="E138" s="241" t="s">
        <v>11351</v>
      </c>
      <c r="F138" s="242" t="s">
        <v>11352</v>
      </c>
      <c r="G138" s="243">
        <v>1</v>
      </c>
      <c r="H138" s="243">
        <v>1</v>
      </c>
      <c r="I138" s="240" t="s">
        <v>11353</v>
      </c>
      <c r="J138" s="240" t="s">
        <v>561</v>
      </c>
      <c r="K138" s="243">
        <v>2023</v>
      </c>
      <c r="L138" s="240" t="s">
        <v>9186</v>
      </c>
      <c r="M138" s="242"/>
      <c r="N138" s="244" t="s">
        <v>11354</v>
      </c>
      <c r="O138"/>
    </row>
    <row r="139" spans="1:15" ht="26.4">
      <c r="A139" s="230">
        <v>138</v>
      </c>
      <c r="B139" s="240" t="s">
        <v>5413</v>
      </c>
      <c r="C139" s="240" t="s">
        <v>9515</v>
      </c>
      <c r="D139" s="241" t="s">
        <v>11355</v>
      </c>
      <c r="E139" s="241" t="s">
        <v>11356</v>
      </c>
      <c r="F139" s="242" t="s">
        <v>11357</v>
      </c>
      <c r="G139" s="243">
        <v>1</v>
      </c>
      <c r="H139" s="243">
        <v>1</v>
      </c>
      <c r="I139" s="240" t="s">
        <v>11358</v>
      </c>
      <c r="J139" s="240" t="s">
        <v>561</v>
      </c>
      <c r="K139" s="243">
        <v>2023</v>
      </c>
      <c r="L139" s="240" t="s">
        <v>9186</v>
      </c>
      <c r="M139" s="242"/>
      <c r="N139" s="244" t="s">
        <v>11359</v>
      </c>
      <c r="O139"/>
    </row>
    <row r="140" spans="1:15" ht="26.4">
      <c r="A140" s="230">
        <v>139</v>
      </c>
      <c r="B140" s="240" t="s">
        <v>5413</v>
      </c>
      <c r="C140" s="240" t="s">
        <v>11360</v>
      </c>
      <c r="D140" s="241" t="s">
        <v>11361</v>
      </c>
      <c r="E140" s="241" t="s">
        <v>11362</v>
      </c>
      <c r="F140" s="242" t="s">
        <v>11363</v>
      </c>
      <c r="G140" s="243">
        <v>1</v>
      </c>
      <c r="H140" s="243">
        <v>1</v>
      </c>
      <c r="I140" s="240" t="s">
        <v>11364</v>
      </c>
      <c r="J140" s="240" t="s">
        <v>561</v>
      </c>
      <c r="K140" s="243">
        <v>2023</v>
      </c>
      <c r="L140" s="240" t="s">
        <v>9186</v>
      </c>
      <c r="M140" s="242"/>
      <c r="N140" s="244" t="s">
        <v>11365</v>
      </c>
      <c r="O140"/>
    </row>
    <row r="141" spans="1:15" ht="26.4">
      <c r="A141" s="230">
        <v>140</v>
      </c>
      <c r="B141" s="240" t="s">
        <v>5413</v>
      </c>
      <c r="C141" s="240" t="s">
        <v>9515</v>
      </c>
      <c r="D141" s="241" t="s">
        <v>11366</v>
      </c>
      <c r="E141" s="241" t="s">
        <v>11367</v>
      </c>
      <c r="F141" s="242" t="s">
        <v>11368</v>
      </c>
      <c r="G141" s="243">
        <v>1</v>
      </c>
      <c r="H141" s="243">
        <v>1</v>
      </c>
      <c r="I141" s="240" t="s">
        <v>11369</v>
      </c>
      <c r="J141" s="240" t="s">
        <v>561</v>
      </c>
      <c r="K141" s="243">
        <v>2023</v>
      </c>
      <c r="L141" s="240" t="s">
        <v>9186</v>
      </c>
      <c r="M141" s="242"/>
      <c r="N141" s="244" t="s">
        <v>11370</v>
      </c>
      <c r="O141"/>
    </row>
    <row r="142" spans="1:15" ht="26.4">
      <c r="A142" s="230">
        <v>141</v>
      </c>
      <c r="B142" s="240" t="s">
        <v>5413</v>
      </c>
      <c r="C142" s="240" t="s">
        <v>9515</v>
      </c>
      <c r="D142" s="241" t="s">
        <v>11371</v>
      </c>
      <c r="E142" s="241" t="s">
        <v>11372</v>
      </c>
      <c r="F142" s="242" t="s">
        <v>11373</v>
      </c>
      <c r="G142" s="243">
        <v>1</v>
      </c>
      <c r="H142" s="243">
        <v>1</v>
      </c>
      <c r="I142" s="240" t="s">
        <v>9081</v>
      </c>
      <c r="J142" s="240" t="s">
        <v>561</v>
      </c>
      <c r="K142" s="243">
        <v>2023</v>
      </c>
      <c r="L142" s="240" t="s">
        <v>9186</v>
      </c>
      <c r="M142" s="242"/>
      <c r="N142" s="244" t="s">
        <v>11374</v>
      </c>
      <c r="O142"/>
    </row>
    <row r="143" spans="1:15" ht="39.6">
      <c r="A143" s="230">
        <v>142</v>
      </c>
      <c r="B143" s="240" t="s">
        <v>5413</v>
      </c>
      <c r="C143" s="240" t="s">
        <v>11375</v>
      </c>
      <c r="D143" s="241" t="s">
        <v>11376</v>
      </c>
      <c r="E143" s="241" t="s">
        <v>11377</v>
      </c>
      <c r="F143" s="242" t="s">
        <v>11378</v>
      </c>
      <c r="G143" s="243">
        <v>1</v>
      </c>
      <c r="H143" s="243">
        <v>1</v>
      </c>
      <c r="I143" s="240" t="s">
        <v>11379</v>
      </c>
      <c r="J143" s="240" t="s">
        <v>561</v>
      </c>
      <c r="K143" s="243">
        <v>2023</v>
      </c>
      <c r="L143" s="240" t="s">
        <v>9186</v>
      </c>
      <c r="M143" s="242"/>
      <c r="N143" s="244" t="s">
        <v>11380</v>
      </c>
      <c r="O143"/>
    </row>
    <row r="144" spans="1:15">
      <c r="A144" s="230">
        <v>143</v>
      </c>
      <c r="B144" s="240" t="s">
        <v>5413</v>
      </c>
      <c r="C144" s="240" t="s">
        <v>9560</v>
      </c>
      <c r="D144" s="241" t="s">
        <v>11381</v>
      </c>
      <c r="E144" s="241" t="s">
        <v>11382</v>
      </c>
      <c r="F144" s="242" t="s">
        <v>11383</v>
      </c>
      <c r="G144" s="243">
        <v>1</v>
      </c>
      <c r="H144" s="243">
        <v>1</v>
      </c>
      <c r="I144" s="240" t="s">
        <v>8685</v>
      </c>
      <c r="J144" s="240" t="s">
        <v>561</v>
      </c>
      <c r="K144" s="243">
        <v>2023</v>
      </c>
      <c r="L144" s="240" t="s">
        <v>9186</v>
      </c>
      <c r="M144" s="242"/>
      <c r="N144" s="244" t="s">
        <v>11384</v>
      </c>
      <c r="O144"/>
    </row>
    <row r="145" spans="1:15">
      <c r="A145" s="230">
        <v>144</v>
      </c>
      <c r="B145" s="240" t="s">
        <v>571</v>
      </c>
      <c r="C145" s="240" t="s">
        <v>9806</v>
      </c>
      <c r="D145" s="241" t="s">
        <v>11385</v>
      </c>
      <c r="E145" s="241" t="s">
        <v>11386</v>
      </c>
      <c r="F145" s="242" t="s">
        <v>11387</v>
      </c>
      <c r="G145" s="243">
        <v>1</v>
      </c>
      <c r="H145" s="243">
        <v>1</v>
      </c>
      <c r="I145" s="240" t="s">
        <v>11388</v>
      </c>
      <c r="J145" s="240" t="s">
        <v>1233</v>
      </c>
      <c r="K145" s="243">
        <v>2018</v>
      </c>
      <c r="L145" s="240" t="s">
        <v>9186</v>
      </c>
      <c r="M145" s="242"/>
      <c r="N145" s="244" t="s">
        <v>11389</v>
      </c>
      <c r="O145"/>
    </row>
    <row r="146" spans="1:15" ht="26.4">
      <c r="A146" s="230">
        <v>145</v>
      </c>
      <c r="B146" s="240" t="s">
        <v>571</v>
      </c>
      <c r="C146" s="240" t="s">
        <v>9761</v>
      </c>
      <c r="D146" s="241" t="s">
        <v>11390</v>
      </c>
      <c r="E146" s="241" t="s">
        <v>11391</v>
      </c>
      <c r="F146" s="242" t="s">
        <v>11392</v>
      </c>
      <c r="G146" s="243">
        <v>1</v>
      </c>
      <c r="H146" s="243">
        <v>1</v>
      </c>
      <c r="I146" s="240" t="s">
        <v>11393</v>
      </c>
      <c r="J146" s="240" t="s">
        <v>1233</v>
      </c>
      <c r="K146" s="243">
        <v>2020</v>
      </c>
      <c r="L146" s="240" t="s">
        <v>9186</v>
      </c>
      <c r="M146" s="242"/>
      <c r="N146" s="244" t="s">
        <v>11394</v>
      </c>
      <c r="O146"/>
    </row>
    <row r="147" spans="1:15">
      <c r="A147" s="230">
        <v>146</v>
      </c>
      <c r="B147" s="240" t="s">
        <v>571</v>
      </c>
      <c r="C147" s="240" t="s">
        <v>9643</v>
      </c>
      <c r="D147" s="241" t="s">
        <v>11395</v>
      </c>
      <c r="E147" s="241" t="s">
        <v>11396</v>
      </c>
      <c r="F147" s="242" t="s">
        <v>11397</v>
      </c>
      <c r="G147" s="243">
        <v>1</v>
      </c>
      <c r="H147" s="243">
        <v>1</v>
      </c>
      <c r="I147" s="240" t="s">
        <v>11398</v>
      </c>
      <c r="J147" s="240" t="s">
        <v>1233</v>
      </c>
      <c r="K147" s="243">
        <v>2021</v>
      </c>
      <c r="L147" s="240" t="s">
        <v>9186</v>
      </c>
      <c r="M147" s="242"/>
      <c r="N147" s="244" t="s">
        <v>11399</v>
      </c>
      <c r="O147"/>
    </row>
    <row r="148" spans="1:15" ht="26.4">
      <c r="A148" s="230">
        <v>147</v>
      </c>
      <c r="B148" s="240" t="s">
        <v>571</v>
      </c>
      <c r="C148" s="240" t="s">
        <v>9643</v>
      </c>
      <c r="D148" s="241" t="s">
        <v>11400</v>
      </c>
      <c r="E148" s="241" t="s">
        <v>11401</v>
      </c>
      <c r="F148" s="242" t="s">
        <v>11402</v>
      </c>
      <c r="G148" s="243">
        <v>1</v>
      </c>
      <c r="H148" s="243">
        <v>1</v>
      </c>
      <c r="I148" s="240" t="s">
        <v>11403</v>
      </c>
      <c r="J148" s="240" t="s">
        <v>1233</v>
      </c>
      <c r="K148" s="243">
        <v>2022</v>
      </c>
      <c r="L148" s="240" t="s">
        <v>9186</v>
      </c>
      <c r="M148" s="242"/>
      <c r="N148" s="244" t="s">
        <v>11404</v>
      </c>
      <c r="O148"/>
    </row>
    <row r="149" spans="1:15" ht="26.4">
      <c r="A149" s="230">
        <v>148</v>
      </c>
      <c r="B149" s="240" t="s">
        <v>571</v>
      </c>
      <c r="C149" s="240" t="s">
        <v>9761</v>
      </c>
      <c r="D149" s="241" t="s">
        <v>11405</v>
      </c>
      <c r="E149" s="241" t="s">
        <v>11406</v>
      </c>
      <c r="F149" s="242" t="s">
        <v>11407</v>
      </c>
      <c r="G149" s="243">
        <v>1</v>
      </c>
      <c r="H149" s="243">
        <v>1</v>
      </c>
      <c r="I149" s="240" t="s">
        <v>9013</v>
      </c>
      <c r="J149" s="240" t="s">
        <v>1233</v>
      </c>
      <c r="K149" s="243">
        <v>2018</v>
      </c>
      <c r="L149" s="240" t="s">
        <v>9186</v>
      </c>
      <c r="M149" s="242"/>
      <c r="N149" s="244" t="s">
        <v>11408</v>
      </c>
      <c r="O149"/>
    </row>
    <row r="150" spans="1:15" ht="26.4">
      <c r="A150" s="230">
        <v>149</v>
      </c>
      <c r="B150" s="240" t="s">
        <v>571</v>
      </c>
      <c r="C150" s="240" t="s">
        <v>11409</v>
      </c>
      <c r="D150" s="241" t="s">
        <v>11410</v>
      </c>
      <c r="E150" s="241" t="s">
        <v>11411</v>
      </c>
      <c r="F150" s="242" t="s">
        <v>11412</v>
      </c>
      <c r="G150" s="243">
        <v>1</v>
      </c>
      <c r="H150" s="243">
        <v>1</v>
      </c>
      <c r="I150" s="240" t="s">
        <v>6437</v>
      </c>
      <c r="J150" s="240" t="s">
        <v>1233</v>
      </c>
      <c r="K150" s="243">
        <v>2022</v>
      </c>
      <c r="L150" s="240" t="s">
        <v>9186</v>
      </c>
      <c r="M150" s="242"/>
      <c r="N150" s="244" t="s">
        <v>11413</v>
      </c>
      <c r="O150"/>
    </row>
    <row r="151" spans="1:15" ht="26.4">
      <c r="A151" s="230">
        <v>150</v>
      </c>
      <c r="B151" s="240" t="s">
        <v>571</v>
      </c>
      <c r="C151" s="240" t="s">
        <v>9598</v>
      </c>
      <c r="D151" s="241" t="s">
        <v>11414</v>
      </c>
      <c r="E151" s="241" t="s">
        <v>11415</v>
      </c>
      <c r="F151" s="242" t="s">
        <v>11416</v>
      </c>
      <c r="G151" s="243">
        <v>1</v>
      </c>
      <c r="H151" s="243">
        <v>1</v>
      </c>
      <c r="I151" s="240" t="s">
        <v>11417</v>
      </c>
      <c r="J151" s="240" t="s">
        <v>1233</v>
      </c>
      <c r="K151" s="243">
        <v>2022</v>
      </c>
      <c r="L151" s="240" t="s">
        <v>9186</v>
      </c>
      <c r="M151" s="242"/>
      <c r="N151" s="244" t="s">
        <v>11418</v>
      </c>
      <c r="O151"/>
    </row>
    <row r="152" spans="1:15" ht="26.4">
      <c r="A152" s="230">
        <v>151</v>
      </c>
      <c r="B152" s="240" t="s">
        <v>571</v>
      </c>
      <c r="C152" s="240" t="s">
        <v>9657</v>
      </c>
      <c r="D152" s="241" t="s">
        <v>11419</v>
      </c>
      <c r="E152" s="241" t="s">
        <v>11420</v>
      </c>
      <c r="F152" s="242" t="s">
        <v>11421</v>
      </c>
      <c r="G152" s="243">
        <v>1</v>
      </c>
      <c r="H152" s="243">
        <v>1</v>
      </c>
      <c r="I152" s="240" t="s">
        <v>11422</v>
      </c>
      <c r="J152" s="240" t="s">
        <v>1233</v>
      </c>
      <c r="K152" s="243">
        <v>2022</v>
      </c>
      <c r="L152" s="240" t="s">
        <v>9186</v>
      </c>
      <c r="M152" s="242"/>
      <c r="N152" s="244" t="s">
        <v>11423</v>
      </c>
      <c r="O152"/>
    </row>
    <row r="153" spans="1:15">
      <c r="A153" s="230">
        <v>152</v>
      </c>
      <c r="B153" s="240" t="s">
        <v>571</v>
      </c>
      <c r="C153" s="240" t="s">
        <v>9598</v>
      </c>
      <c r="D153" s="241" t="s">
        <v>11424</v>
      </c>
      <c r="E153" s="241" t="s">
        <v>11425</v>
      </c>
      <c r="F153" s="242" t="s">
        <v>11426</v>
      </c>
      <c r="G153" s="243">
        <v>1</v>
      </c>
      <c r="H153" s="243">
        <v>1</v>
      </c>
      <c r="I153" s="240" t="s">
        <v>11427</v>
      </c>
      <c r="J153" s="240" t="s">
        <v>1233</v>
      </c>
      <c r="K153" s="243">
        <v>2022</v>
      </c>
      <c r="L153" s="240" t="s">
        <v>9186</v>
      </c>
      <c r="M153" s="242"/>
      <c r="N153" s="244" t="s">
        <v>11428</v>
      </c>
      <c r="O153"/>
    </row>
    <row r="154" spans="1:15" ht="26.4">
      <c r="A154" s="230">
        <v>153</v>
      </c>
      <c r="B154" s="240" t="s">
        <v>571</v>
      </c>
      <c r="C154" s="240" t="s">
        <v>9657</v>
      </c>
      <c r="D154" s="241" t="s">
        <v>11429</v>
      </c>
      <c r="E154" s="241" t="s">
        <v>11430</v>
      </c>
      <c r="F154" s="242" t="s">
        <v>11431</v>
      </c>
      <c r="G154" s="243">
        <v>1</v>
      </c>
      <c r="H154" s="243">
        <v>1</v>
      </c>
      <c r="I154" s="240" t="s">
        <v>10270</v>
      </c>
      <c r="J154" s="240" t="s">
        <v>1233</v>
      </c>
      <c r="K154" s="243">
        <v>2022</v>
      </c>
      <c r="L154" s="240" t="s">
        <v>9186</v>
      </c>
      <c r="M154" s="242"/>
      <c r="N154" s="244" t="s">
        <v>11432</v>
      </c>
      <c r="O154"/>
    </row>
    <row r="155" spans="1:15" ht="26.4">
      <c r="A155" s="230">
        <v>154</v>
      </c>
      <c r="B155" s="240" t="s">
        <v>571</v>
      </c>
      <c r="C155" s="240" t="s">
        <v>9643</v>
      </c>
      <c r="D155" s="241" t="s">
        <v>11433</v>
      </c>
      <c r="E155" s="241" t="s">
        <v>11434</v>
      </c>
      <c r="F155" s="242" t="s">
        <v>11435</v>
      </c>
      <c r="G155" s="243">
        <v>1</v>
      </c>
      <c r="H155" s="243">
        <v>1</v>
      </c>
      <c r="I155" s="240" t="s">
        <v>10566</v>
      </c>
      <c r="J155" s="240" t="s">
        <v>1233</v>
      </c>
      <c r="K155" s="243">
        <v>2022</v>
      </c>
      <c r="L155" s="240" t="s">
        <v>9186</v>
      </c>
      <c r="M155" s="242"/>
      <c r="N155" s="244" t="s">
        <v>11436</v>
      </c>
      <c r="O155"/>
    </row>
    <row r="156" spans="1:15" ht="26.4">
      <c r="A156" s="230">
        <v>155</v>
      </c>
      <c r="B156" s="240" t="s">
        <v>571</v>
      </c>
      <c r="C156" s="240" t="s">
        <v>9598</v>
      </c>
      <c r="D156" s="241" t="s">
        <v>11437</v>
      </c>
      <c r="E156" s="241" t="s">
        <v>11438</v>
      </c>
      <c r="F156" s="242" t="s">
        <v>11439</v>
      </c>
      <c r="G156" s="243">
        <v>1</v>
      </c>
      <c r="H156" s="243">
        <v>1</v>
      </c>
      <c r="I156" s="240" t="s">
        <v>11440</v>
      </c>
      <c r="J156" s="240" t="s">
        <v>569</v>
      </c>
      <c r="K156" s="243">
        <v>2022</v>
      </c>
      <c r="L156" s="240" t="s">
        <v>9186</v>
      </c>
      <c r="M156" s="242"/>
      <c r="N156" s="244" t="s">
        <v>11441</v>
      </c>
      <c r="O156"/>
    </row>
    <row r="157" spans="1:15" ht="26.4">
      <c r="A157" s="230">
        <v>156</v>
      </c>
      <c r="B157" s="240" t="s">
        <v>571</v>
      </c>
      <c r="C157" s="240" t="s">
        <v>9598</v>
      </c>
      <c r="D157" s="241" t="s">
        <v>11442</v>
      </c>
      <c r="E157" s="241" t="s">
        <v>11443</v>
      </c>
      <c r="F157" s="242" t="s">
        <v>11444</v>
      </c>
      <c r="G157" s="243">
        <v>1</v>
      </c>
      <c r="H157" s="243">
        <v>1</v>
      </c>
      <c r="I157" s="240" t="s">
        <v>11445</v>
      </c>
      <c r="J157" s="240" t="s">
        <v>1233</v>
      </c>
      <c r="K157" s="243">
        <v>2022</v>
      </c>
      <c r="L157" s="240" t="s">
        <v>9186</v>
      </c>
      <c r="M157" s="242"/>
      <c r="N157" s="244" t="s">
        <v>11446</v>
      </c>
      <c r="O157"/>
    </row>
    <row r="158" spans="1:15" ht="26.4">
      <c r="A158" s="230">
        <v>157</v>
      </c>
      <c r="B158" s="240" t="s">
        <v>571</v>
      </c>
      <c r="C158" s="240" t="s">
        <v>9598</v>
      </c>
      <c r="D158" s="241" t="s">
        <v>11447</v>
      </c>
      <c r="E158" s="241" t="s">
        <v>11448</v>
      </c>
      <c r="F158" s="242" t="s">
        <v>11449</v>
      </c>
      <c r="G158" s="243">
        <v>1</v>
      </c>
      <c r="H158" s="243">
        <v>1</v>
      </c>
      <c r="I158" s="240" t="s">
        <v>11450</v>
      </c>
      <c r="J158" s="240" t="s">
        <v>1233</v>
      </c>
      <c r="K158" s="243">
        <v>2022</v>
      </c>
      <c r="L158" s="240" t="s">
        <v>9186</v>
      </c>
      <c r="M158" s="242"/>
      <c r="N158" s="244" t="s">
        <v>11451</v>
      </c>
      <c r="O158"/>
    </row>
    <row r="159" spans="1:15">
      <c r="A159" s="230">
        <v>158</v>
      </c>
      <c r="B159" s="240" t="s">
        <v>571</v>
      </c>
      <c r="C159" s="240" t="s">
        <v>9604</v>
      </c>
      <c r="D159" s="241" t="s">
        <v>11452</v>
      </c>
      <c r="E159" s="241" t="s">
        <v>11453</v>
      </c>
      <c r="F159" s="242" t="s">
        <v>11454</v>
      </c>
      <c r="G159" s="243">
        <v>1</v>
      </c>
      <c r="H159" s="243">
        <v>1</v>
      </c>
      <c r="I159" s="240" t="s">
        <v>9632</v>
      </c>
      <c r="J159" s="240" t="s">
        <v>1233</v>
      </c>
      <c r="K159" s="243">
        <v>2022</v>
      </c>
      <c r="L159" s="240" t="s">
        <v>9186</v>
      </c>
      <c r="M159" s="242"/>
      <c r="N159" s="244" t="s">
        <v>11455</v>
      </c>
      <c r="O159"/>
    </row>
    <row r="160" spans="1:15" ht="26.4">
      <c r="A160" s="230">
        <v>159</v>
      </c>
      <c r="B160" s="240" t="s">
        <v>571</v>
      </c>
      <c r="C160" s="240" t="s">
        <v>9598</v>
      </c>
      <c r="D160" s="241" t="s">
        <v>11456</v>
      </c>
      <c r="E160" s="241" t="s">
        <v>11457</v>
      </c>
      <c r="F160" s="242" t="s">
        <v>11458</v>
      </c>
      <c r="G160" s="243">
        <v>1</v>
      </c>
      <c r="H160" s="243">
        <v>1</v>
      </c>
      <c r="I160" s="240" t="s">
        <v>11459</v>
      </c>
      <c r="J160" s="240" t="s">
        <v>569</v>
      </c>
      <c r="K160" s="243">
        <v>2022</v>
      </c>
      <c r="L160" s="240" t="s">
        <v>9186</v>
      </c>
      <c r="M160" s="242"/>
      <c r="N160" s="244" t="s">
        <v>11460</v>
      </c>
      <c r="O160"/>
    </row>
    <row r="161" spans="1:15" ht="26.4">
      <c r="A161" s="230">
        <v>160</v>
      </c>
      <c r="B161" s="240" t="s">
        <v>571</v>
      </c>
      <c r="C161" s="240" t="s">
        <v>9657</v>
      </c>
      <c r="D161" s="241" t="s">
        <v>11461</v>
      </c>
      <c r="E161" s="241" t="s">
        <v>11462</v>
      </c>
      <c r="F161" s="242" t="s">
        <v>11463</v>
      </c>
      <c r="G161" s="243">
        <v>1</v>
      </c>
      <c r="H161" s="243">
        <v>1</v>
      </c>
      <c r="I161" s="240" t="s">
        <v>10270</v>
      </c>
      <c r="J161" s="240" t="s">
        <v>1233</v>
      </c>
      <c r="K161" s="243">
        <v>2022</v>
      </c>
      <c r="L161" s="240" t="s">
        <v>9186</v>
      </c>
      <c r="M161" s="242"/>
      <c r="N161" s="244" t="s">
        <v>11464</v>
      </c>
      <c r="O161"/>
    </row>
    <row r="162" spans="1:15" ht="26.4">
      <c r="A162" s="230">
        <v>161</v>
      </c>
      <c r="B162" s="240" t="s">
        <v>571</v>
      </c>
      <c r="C162" s="240" t="s">
        <v>9598</v>
      </c>
      <c r="D162" s="241" t="s">
        <v>11465</v>
      </c>
      <c r="E162" s="241" t="s">
        <v>11466</v>
      </c>
      <c r="F162" s="242" t="s">
        <v>11467</v>
      </c>
      <c r="G162" s="243">
        <v>1</v>
      </c>
      <c r="H162" s="243">
        <v>1</v>
      </c>
      <c r="I162" s="240" t="s">
        <v>11468</v>
      </c>
      <c r="J162" s="240" t="s">
        <v>1233</v>
      </c>
      <c r="K162" s="243">
        <v>2023</v>
      </c>
      <c r="L162" s="240" t="s">
        <v>9186</v>
      </c>
      <c r="M162" s="242"/>
      <c r="N162" s="244" t="s">
        <v>11469</v>
      </c>
      <c r="O162"/>
    </row>
    <row r="163" spans="1:15" ht="26.4">
      <c r="A163" s="230">
        <v>162</v>
      </c>
      <c r="B163" s="240" t="s">
        <v>571</v>
      </c>
      <c r="C163" s="240" t="s">
        <v>9598</v>
      </c>
      <c r="D163" s="241" t="s">
        <v>11470</v>
      </c>
      <c r="E163" s="241" t="s">
        <v>11471</v>
      </c>
      <c r="F163" s="242" t="s">
        <v>11472</v>
      </c>
      <c r="G163" s="243">
        <v>1</v>
      </c>
      <c r="H163" s="243">
        <v>1</v>
      </c>
      <c r="I163" s="240" t="s">
        <v>11473</v>
      </c>
      <c r="J163" s="240" t="s">
        <v>569</v>
      </c>
      <c r="K163" s="243">
        <v>2023</v>
      </c>
      <c r="L163" s="240" t="s">
        <v>9186</v>
      </c>
      <c r="M163" s="242"/>
      <c r="N163" s="244" t="s">
        <v>11474</v>
      </c>
      <c r="O163"/>
    </row>
    <row r="164" spans="1:15" ht="26.4">
      <c r="A164" s="230">
        <v>163</v>
      </c>
      <c r="B164" s="240" t="s">
        <v>571</v>
      </c>
      <c r="C164" s="240" t="s">
        <v>9657</v>
      </c>
      <c r="D164" s="241" t="s">
        <v>11475</v>
      </c>
      <c r="E164" s="241" t="s">
        <v>11476</v>
      </c>
      <c r="F164" s="242" t="s">
        <v>11477</v>
      </c>
      <c r="G164" s="243">
        <v>1</v>
      </c>
      <c r="H164" s="243">
        <v>1</v>
      </c>
      <c r="I164" s="240" t="s">
        <v>137</v>
      </c>
      <c r="J164" s="240" t="s">
        <v>1233</v>
      </c>
      <c r="K164" s="243">
        <v>2023</v>
      </c>
      <c r="L164" s="240" t="s">
        <v>9186</v>
      </c>
      <c r="M164" s="242"/>
      <c r="N164" s="244" t="s">
        <v>11478</v>
      </c>
      <c r="O164"/>
    </row>
    <row r="165" spans="1:15" ht="26.4">
      <c r="A165" s="230">
        <v>164</v>
      </c>
      <c r="B165" s="240" t="s">
        <v>571</v>
      </c>
      <c r="C165" s="240" t="s">
        <v>9657</v>
      </c>
      <c r="D165" s="241" t="s">
        <v>11479</v>
      </c>
      <c r="E165" s="241" t="s">
        <v>11480</v>
      </c>
      <c r="F165" s="242" t="s">
        <v>11481</v>
      </c>
      <c r="G165" s="243">
        <v>1</v>
      </c>
      <c r="H165" s="243">
        <v>1</v>
      </c>
      <c r="I165" s="240" t="s">
        <v>11482</v>
      </c>
      <c r="J165" s="240" t="s">
        <v>1233</v>
      </c>
      <c r="K165" s="243">
        <v>2023</v>
      </c>
      <c r="L165" s="240" t="s">
        <v>9186</v>
      </c>
      <c r="M165" s="242"/>
      <c r="N165" s="244" t="s">
        <v>11483</v>
      </c>
      <c r="O165"/>
    </row>
    <row r="166" spans="1:15" ht="26.4">
      <c r="A166" s="230">
        <v>165</v>
      </c>
      <c r="B166" s="240" t="s">
        <v>571</v>
      </c>
      <c r="C166" s="240" t="s">
        <v>9643</v>
      </c>
      <c r="D166" s="241" t="s">
        <v>11484</v>
      </c>
      <c r="E166" s="241" t="s">
        <v>11485</v>
      </c>
      <c r="F166" s="242" t="s">
        <v>11486</v>
      </c>
      <c r="G166" s="243">
        <v>1</v>
      </c>
      <c r="H166" s="243">
        <v>1</v>
      </c>
      <c r="I166" s="240" t="s">
        <v>11487</v>
      </c>
      <c r="J166" s="240" t="s">
        <v>1233</v>
      </c>
      <c r="K166" s="243">
        <v>2023</v>
      </c>
      <c r="L166" s="240" t="s">
        <v>9186</v>
      </c>
      <c r="M166" s="242"/>
      <c r="N166" s="244" t="s">
        <v>11488</v>
      </c>
      <c r="O166"/>
    </row>
    <row r="167" spans="1:15" ht="26.4">
      <c r="A167" s="230">
        <v>166</v>
      </c>
      <c r="B167" s="240" t="s">
        <v>571</v>
      </c>
      <c r="C167" s="240" t="s">
        <v>9598</v>
      </c>
      <c r="D167" s="241" t="s">
        <v>11489</v>
      </c>
      <c r="E167" s="241" t="s">
        <v>11490</v>
      </c>
      <c r="F167" s="242" t="s">
        <v>11491</v>
      </c>
      <c r="G167" s="243">
        <v>1</v>
      </c>
      <c r="H167" s="243">
        <v>1</v>
      </c>
      <c r="I167" s="240" t="s">
        <v>7263</v>
      </c>
      <c r="J167" s="240" t="s">
        <v>1233</v>
      </c>
      <c r="K167" s="243">
        <v>2023</v>
      </c>
      <c r="L167" s="240" t="s">
        <v>9186</v>
      </c>
      <c r="M167" s="242"/>
      <c r="N167" s="244" t="s">
        <v>11492</v>
      </c>
      <c r="O167"/>
    </row>
    <row r="168" spans="1:15" ht="26.4">
      <c r="A168" s="230">
        <v>167</v>
      </c>
      <c r="B168" s="240" t="s">
        <v>571</v>
      </c>
      <c r="C168" s="240" t="s">
        <v>9598</v>
      </c>
      <c r="D168" s="241" t="s">
        <v>11493</v>
      </c>
      <c r="E168" s="241" t="s">
        <v>11494</v>
      </c>
      <c r="F168" s="242" t="s">
        <v>11495</v>
      </c>
      <c r="G168" s="243">
        <v>1</v>
      </c>
      <c r="H168" s="243">
        <v>1</v>
      </c>
      <c r="I168" s="240" t="s">
        <v>11496</v>
      </c>
      <c r="J168" s="240" t="s">
        <v>569</v>
      </c>
      <c r="K168" s="243">
        <v>2023</v>
      </c>
      <c r="L168" s="240" t="s">
        <v>9186</v>
      </c>
      <c r="M168" s="242"/>
      <c r="N168" s="244" t="s">
        <v>11497</v>
      </c>
      <c r="O168"/>
    </row>
    <row r="169" spans="1:15">
      <c r="A169" s="230">
        <v>168</v>
      </c>
      <c r="B169" s="240" t="s">
        <v>571</v>
      </c>
      <c r="C169" s="240" t="s">
        <v>9598</v>
      </c>
      <c r="D169" s="241" t="s">
        <v>11498</v>
      </c>
      <c r="E169" s="241" t="s">
        <v>11499</v>
      </c>
      <c r="F169" s="242" t="s">
        <v>11500</v>
      </c>
      <c r="G169" s="243">
        <v>1</v>
      </c>
      <c r="H169" s="243">
        <v>1</v>
      </c>
      <c r="I169" s="240" t="s">
        <v>11501</v>
      </c>
      <c r="J169" s="240" t="s">
        <v>1233</v>
      </c>
      <c r="K169" s="243">
        <v>2023</v>
      </c>
      <c r="L169" s="240" t="s">
        <v>9186</v>
      </c>
      <c r="M169" s="242"/>
      <c r="N169" s="244" t="s">
        <v>11502</v>
      </c>
      <c r="O169"/>
    </row>
    <row r="170" spans="1:15" ht="26.4">
      <c r="A170" s="230">
        <v>169</v>
      </c>
      <c r="B170" s="240" t="s">
        <v>571</v>
      </c>
      <c r="C170" s="240" t="s">
        <v>9598</v>
      </c>
      <c r="D170" s="241" t="s">
        <v>11503</v>
      </c>
      <c r="E170" s="241" t="s">
        <v>11504</v>
      </c>
      <c r="F170" s="242" t="s">
        <v>11505</v>
      </c>
      <c r="G170" s="243">
        <v>1</v>
      </c>
      <c r="H170" s="243">
        <v>1</v>
      </c>
      <c r="I170" s="240" t="s">
        <v>11506</v>
      </c>
      <c r="J170" s="240" t="s">
        <v>1233</v>
      </c>
      <c r="K170" s="243">
        <v>2023</v>
      </c>
      <c r="L170" s="240" t="s">
        <v>9186</v>
      </c>
      <c r="M170" s="242"/>
      <c r="N170" s="244" t="s">
        <v>11507</v>
      </c>
      <c r="O170"/>
    </row>
    <row r="171" spans="1:15">
      <c r="A171" s="230">
        <v>170</v>
      </c>
      <c r="B171" s="240" t="s">
        <v>571</v>
      </c>
      <c r="C171" s="240" t="s">
        <v>9598</v>
      </c>
      <c r="D171" s="241" t="s">
        <v>11508</v>
      </c>
      <c r="E171" s="241" t="s">
        <v>11509</v>
      </c>
      <c r="F171" s="242" t="s">
        <v>11510</v>
      </c>
      <c r="G171" s="243">
        <v>1</v>
      </c>
      <c r="H171" s="243">
        <v>1</v>
      </c>
      <c r="I171" s="240" t="s">
        <v>11511</v>
      </c>
      <c r="J171" s="240" t="s">
        <v>1233</v>
      </c>
      <c r="K171" s="243">
        <v>2023</v>
      </c>
      <c r="L171" s="240" t="s">
        <v>9186</v>
      </c>
      <c r="M171" s="242"/>
      <c r="N171" s="244" t="s">
        <v>11512</v>
      </c>
      <c r="O171"/>
    </row>
    <row r="172" spans="1:15">
      <c r="A172" s="230">
        <v>171</v>
      </c>
      <c r="B172" s="240" t="s">
        <v>571</v>
      </c>
      <c r="C172" s="240" t="s">
        <v>9598</v>
      </c>
      <c r="D172" s="241" t="s">
        <v>11513</v>
      </c>
      <c r="E172" s="241" t="s">
        <v>11514</v>
      </c>
      <c r="F172" s="242" t="s">
        <v>11515</v>
      </c>
      <c r="G172" s="243">
        <v>1</v>
      </c>
      <c r="H172" s="243">
        <v>1</v>
      </c>
      <c r="I172" s="240" t="s">
        <v>11516</v>
      </c>
      <c r="J172" s="240" t="s">
        <v>569</v>
      </c>
      <c r="K172" s="243">
        <v>2023</v>
      </c>
      <c r="L172" s="240" t="s">
        <v>9186</v>
      </c>
      <c r="M172" s="242"/>
      <c r="N172" s="244" t="s">
        <v>11517</v>
      </c>
      <c r="O172"/>
    </row>
    <row r="173" spans="1:15" ht="26.4">
      <c r="A173" s="230">
        <v>172</v>
      </c>
      <c r="B173" s="240" t="s">
        <v>571</v>
      </c>
      <c r="C173" s="240" t="s">
        <v>9598</v>
      </c>
      <c r="D173" s="241" t="s">
        <v>11518</v>
      </c>
      <c r="E173" s="241" t="s">
        <v>11519</v>
      </c>
      <c r="F173" s="242" t="s">
        <v>11520</v>
      </c>
      <c r="G173" s="243">
        <v>1</v>
      </c>
      <c r="H173" s="243">
        <v>1</v>
      </c>
      <c r="I173" s="240" t="s">
        <v>11521</v>
      </c>
      <c r="J173" s="240" t="s">
        <v>1233</v>
      </c>
      <c r="K173" s="243">
        <v>2023</v>
      </c>
      <c r="L173" s="240" t="s">
        <v>9186</v>
      </c>
      <c r="M173" s="242"/>
      <c r="N173" s="244" t="s">
        <v>11522</v>
      </c>
      <c r="O173"/>
    </row>
    <row r="174" spans="1:15" ht="26.4">
      <c r="A174" s="230">
        <v>173</v>
      </c>
      <c r="B174" s="240" t="s">
        <v>571</v>
      </c>
      <c r="C174" s="240" t="s">
        <v>9657</v>
      </c>
      <c r="D174" s="241" t="s">
        <v>11523</v>
      </c>
      <c r="E174" s="241" t="s">
        <v>11524</v>
      </c>
      <c r="F174" s="242" t="s">
        <v>11525</v>
      </c>
      <c r="G174" s="243">
        <v>1</v>
      </c>
      <c r="H174" s="243">
        <v>1</v>
      </c>
      <c r="I174" s="240" t="s">
        <v>7088</v>
      </c>
      <c r="J174" s="240" t="s">
        <v>1233</v>
      </c>
      <c r="K174" s="243">
        <v>2023</v>
      </c>
      <c r="L174" s="240" t="s">
        <v>9186</v>
      </c>
      <c r="M174" s="242"/>
      <c r="N174" s="244" t="s">
        <v>11526</v>
      </c>
      <c r="O174"/>
    </row>
    <row r="175" spans="1:15" ht="26.4">
      <c r="A175" s="230">
        <v>174</v>
      </c>
      <c r="B175" s="240" t="s">
        <v>571</v>
      </c>
      <c r="C175" s="240" t="s">
        <v>9598</v>
      </c>
      <c r="D175" s="241" t="s">
        <v>11527</v>
      </c>
      <c r="E175" s="241" t="s">
        <v>11528</v>
      </c>
      <c r="F175" s="242" t="s">
        <v>11529</v>
      </c>
      <c r="G175" s="243">
        <v>1</v>
      </c>
      <c r="H175" s="243">
        <v>1</v>
      </c>
      <c r="I175" s="240" t="s">
        <v>11530</v>
      </c>
      <c r="J175" s="240" t="s">
        <v>1233</v>
      </c>
      <c r="K175" s="243">
        <v>2023</v>
      </c>
      <c r="L175" s="240" t="s">
        <v>9186</v>
      </c>
      <c r="M175" s="242"/>
      <c r="N175" s="244" t="s">
        <v>11531</v>
      </c>
      <c r="O175"/>
    </row>
    <row r="176" spans="1:15" ht="26.4">
      <c r="A176" s="230">
        <v>175</v>
      </c>
      <c r="B176" s="240" t="s">
        <v>571</v>
      </c>
      <c r="C176" s="240" t="s">
        <v>9598</v>
      </c>
      <c r="D176" s="241" t="s">
        <v>11532</v>
      </c>
      <c r="E176" s="241" t="s">
        <v>11533</v>
      </c>
      <c r="F176" s="242" t="s">
        <v>11534</v>
      </c>
      <c r="G176" s="243">
        <v>1</v>
      </c>
      <c r="H176" s="243">
        <v>1</v>
      </c>
      <c r="I176" s="240" t="s">
        <v>11535</v>
      </c>
      <c r="J176" s="240" t="s">
        <v>1233</v>
      </c>
      <c r="K176" s="243">
        <v>2023</v>
      </c>
      <c r="L176" s="240" t="s">
        <v>9186</v>
      </c>
      <c r="M176" s="242"/>
      <c r="N176" s="244" t="s">
        <v>11536</v>
      </c>
      <c r="O176"/>
    </row>
    <row r="177" spans="1:15">
      <c r="A177" s="230">
        <v>176</v>
      </c>
      <c r="B177" s="240" t="s">
        <v>571</v>
      </c>
      <c r="C177" s="240" t="s">
        <v>9598</v>
      </c>
      <c r="D177" s="241" t="s">
        <v>11537</v>
      </c>
      <c r="E177" s="241" t="s">
        <v>11538</v>
      </c>
      <c r="F177" s="242" t="s">
        <v>11539</v>
      </c>
      <c r="G177" s="243">
        <v>1</v>
      </c>
      <c r="H177" s="243">
        <v>1</v>
      </c>
      <c r="I177" s="240" t="s">
        <v>11540</v>
      </c>
      <c r="J177" s="240" t="s">
        <v>1233</v>
      </c>
      <c r="K177" s="243">
        <v>2023</v>
      </c>
      <c r="L177" s="240" t="s">
        <v>9186</v>
      </c>
      <c r="M177" s="242"/>
      <c r="N177" s="244" t="s">
        <v>11541</v>
      </c>
      <c r="O177"/>
    </row>
    <row r="178" spans="1:15" ht="26.4">
      <c r="A178" s="230">
        <v>177</v>
      </c>
      <c r="B178" s="240" t="s">
        <v>571</v>
      </c>
      <c r="C178" s="240" t="s">
        <v>9598</v>
      </c>
      <c r="D178" s="241" t="s">
        <v>11542</v>
      </c>
      <c r="E178" s="241" t="s">
        <v>11543</v>
      </c>
      <c r="F178" s="242" t="s">
        <v>11544</v>
      </c>
      <c r="G178" s="243">
        <v>1</v>
      </c>
      <c r="H178" s="243">
        <v>1</v>
      </c>
      <c r="I178" s="240" t="s">
        <v>11545</v>
      </c>
      <c r="J178" s="240" t="s">
        <v>1233</v>
      </c>
      <c r="K178" s="243">
        <v>2023</v>
      </c>
      <c r="L178" s="240" t="s">
        <v>9186</v>
      </c>
      <c r="M178" s="242"/>
      <c r="N178" s="244" t="s">
        <v>11546</v>
      </c>
      <c r="O178"/>
    </row>
    <row r="179" spans="1:15" ht="26.4">
      <c r="A179" s="230">
        <v>178</v>
      </c>
      <c r="B179" s="240" t="s">
        <v>571</v>
      </c>
      <c r="C179" s="240" t="s">
        <v>9598</v>
      </c>
      <c r="D179" s="241" t="s">
        <v>11547</v>
      </c>
      <c r="E179" s="241" t="s">
        <v>11548</v>
      </c>
      <c r="F179" s="242" t="s">
        <v>11549</v>
      </c>
      <c r="G179" s="243">
        <v>1</v>
      </c>
      <c r="H179" s="243">
        <v>1</v>
      </c>
      <c r="I179" s="240" t="s">
        <v>11550</v>
      </c>
      <c r="J179" s="240" t="s">
        <v>1233</v>
      </c>
      <c r="K179" s="243">
        <v>2023</v>
      </c>
      <c r="L179" s="240" t="s">
        <v>9186</v>
      </c>
      <c r="M179" s="242"/>
      <c r="N179" s="244" t="s">
        <v>11551</v>
      </c>
      <c r="O179"/>
    </row>
    <row r="180" spans="1:15" ht="39.6">
      <c r="A180" s="230">
        <v>179</v>
      </c>
      <c r="B180" s="240" t="s">
        <v>571</v>
      </c>
      <c r="C180" s="240" t="s">
        <v>9598</v>
      </c>
      <c r="D180" s="241" t="s">
        <v>11552</v>
      </c>
      <c r="E180" s="241" t="s">
        <v>11553</v>
      </c>
      <c r="F180" s="242" t="s">
        <v>11554</v>
      </c>
      <c r="G180" s="243">
        <v>1</v>
      </c>
      <c r="H180" s="243">
        <v>1</v>
      </c>
      <c r="I180" s="240" t="s">
        <v>11555</v>
      </c>
      <c r="J180" s="240" t="s">
        <v>1233</v>
      </c>
      <c r="K180" s="243">
        <v>2023</v>
      </c>
      <c r="L180" s="240" t="s">
        <v>9186</v>
      </c>
      <c r="M180" s="242"/>
      <c r="N180" s="244" t="s">
        <v>11556</v>
      </c>
      <c r="O180"/>
    </row>
    <row r="181" spans="1:15" ht="26.4">
      <c r="A181" s="230">
        <v>180</v>
      </c>
      <c r="B181" s="240" t="s">
        <v>571</v>
      </c>
      <c r="C181" s="240" t="s">
        <v>9598</v>
      </c>
      <c r="D181" s="241" t="s">
        <v>11557</v>
      </c>
      <c r="E181" s="241" t="s">
        <v>11558</v>
      </c>
      <c r="F181" s="242" t="s">
        <v>11559</v>
      </c>
      <c r="G181" s="243">
        <v>1</v>
      </c>
      <c r="H181" s="243">
        <v>1</v>
      </c>
      <c r="I181" s="240" t="s">
        <v>8264</v>
      </c>
      <c r="J181" s="240" t="s">
        <v>1233</v>
      </c>
      <c r="K181" s="243">
        <v>2023</v>
      </c>
      <c r="L181" s="240" t="s">
        <v>9186</v>
      </c>
      <c r="M181" s="242"/>
      <c r="N181" s="244" t="s">
        <v>11560</v>
      </c>
      <c r="O181"/>
    </row>
    <row r="182" spans="1:15" ht="26.4">
      <c r="A182" s="230">
        <v>181</v>
      </c>
      <c r="B182" s="240" t="s">
        <v>571</v>
      </c>
      <c r="C182" s="240" t="s">
        <v>9657</v>
      </c>
      <c r="D182" s="241" t="s">
        <v>11561</v>
      </c>
      <c r="E182" s="241" t="s">
        <v>11562</v>
      </c>
      <c r="F182" s="242" t="s">
        <v>11563</v>
      </c>
      <c r="G182" s="243">
        <v>1</v>
      </c>
      <c r="H182" s="243">
        <v>1</v>
      </c>
      <c r="I182" s="240" t="s">
        <v>8905</v>
      </c>
      <c r="J182" s="240" t="s">
        <v>1233</v>
      </c>
      <c r="K182" s="243">
        <v>2023</v>
      </c>
      <c r="L182" s="240" t="s">
        <v>9186</v>
      </c>
      <c r="M182" s="242"/>
      <c r="N182" s="244" t="s">
        <v>11564</v>
      </c>
      <c r="O182"/>
    </row>
    <row r="183" spans="1:15">
      <c r="A183" s="230">
        <v>182</v>
      </c>
      <c r="B183" s="240" t="s">
        <v>571</v>
      </c>
      <c r="C183" s="240" t="s">
        <v>9598</v>
      </c>
      <c r="D183" s="241" t="s">
        <v>11565</v>
      </c>
      <c r="E183" s="241" t="s">
        <v>11566</v>
      </c>
      <c r="F183" s="242" t="s">
        <v>11567</v>
      </c>
      <c r="G183" s="243">
        <v>1</v>
      </c>
      <c r="H183" s="243">
        <v>1</v>
      </c>
      <c r="I183" s="240" t="s">
        <v>547</v>
      </c>
      <c r="J183" s="240" t="s">
        <v>1233</v>
      </c>
      <c r="K183" s="243">
        <v>2023</v>
      </c>
      <c r="L183" s="240" t="s">
        <v>9186</v>
      </c>
      <c r="M183" s="242"/>
      <c r="N183" s="244" t="s">
        <v>11568</v>
      </c>
      <c r="O183"/>
    </row>
    <row r="184" spans="1:15" ht="26.4">
      <c r="A184" s="230">
        <v>183</v>
      </c>
      <c r="B184" s="240" t="s">
        <v>571</v>
      </c>
      <c r="C184" s="240" t="s">
        <v>9657</v>
      </c>
      <c r="D184" s="241" t="s">
        <v>11569</v>
      </c>
      <c r="E184" s="241" t="s">
        <v>11570</v>
      </c>
      <c r="F184" s="242" t="s">
        <v>11571</v>
      </c>
      <c r="G184" s="243">
        <v>1</v>
      </c>
      <c r="H184" s="243">
        <v>1</v>
      </c>
      <c r="I184" s="240" t="s">
        <v>11572</v>
      </c>
      <c r="J184" s="240" t="s">
        <v>1233</v>
      </c>
      <c r="K184" s="243">
        <v>2023</v>
      </c>
      <c r="L184" s="240" t="s">
        <v>9186</v>
      </c>
      <c r="M184" s="242"/>
      <c r="N184" s="244" t="s">
        <v>11573</v>
      </c>
      <c r="O184"/>
    </row>
    <row r="185" spans="1:15" ht="26.4">
      <c r="A185" s="230">
        <v>184</v>
      </c>
      <c r="B185" s="240" t="s">
        <v>571</v>
      </c>
      <c r="C185" s="240" t="s">
        <v>9598</v>
      </c>
      <c r="D185" s="241" t="s">
        <v>11574</v>
      </c>
      <c r="E185" s="241" t="s">
        <v>11575</v>
      </c>
      <c r="F185" s="242" t="s">
        <v>11576</v>
      </c>
      <c r="G185" s="243">
        <v>1</v>
      </c>
      <c r="H185" s="243">
        <v>1</v>
      </c>
      <c r="I185" s="240" t="s">
        <v>11577</v>
      </c>
      <c r="J185" s="240" t="s">
        <v>569</v>
      </c>
      <c r="K185" s="243">
        <v>2023</v>
      </c>
      <c r="L185" s="240" t="s">
        <v>9186</v>
      </c>
      <c r="M185" s="242"/>
      <c r="N185" s="244" t="s">
        <v>11578</v>
      </c>
      <c r="O185"/>
    </row>
    <row r="186" spans="1:15" ht="26.4">
      <c r="A186" s="230">
        <v>185</v>
      </c>
      <c r="B186" s="240" t="s">
        <v>571</v>
      </c>
      <c r="C186" s="240" t="s">
        <v>9598</v>
      </c>
      <c r="D186" s="241" t="s">
        <v>11579</v>
      </c>
      <c r="E186" s="241" t="s">
        <v>11580</v>
      </c>
      <c r="F186" s="242" t="s">
        <v>11581</v>
      </c>
      <c r="G186" s="243">
        <v>1</v>
      </c>
      <c r="H186" s="243">
        <v>1</v>
      </c>
      <c r="I186" s="240" t="s">
        <v>11582</v>
      </c>
      <c r="J186" s="240" t="s">
        <v>1233</v>
      </c>
      <c r="K186" s="243">
        <v>2023</v>
      </c>
      <c r="L186" s="240" t="s">
        <v>9186</v>
      </c>
      <c r="M186" s="242"/>
      <c r="N186" s="244" t="s">
        <v>11583</v>
      </c>
      <c r="O186"/>
    </row>
    <row r="187" spans="1:15" ht="26.4">
      <c r="A187" s="230">
        <v>186</v>
      </c>
      <c r="B187" s="240" t="s">
        <v>571</v>
      </c>
      <c r="C187" s="240" t="s">
        <v>9598</v>
      </c>
      <c r="D187" s="241" t="s">
        <v>11584</v>
      </c>
      <c r="E187" s="241" t="s">
        <v>11585</v>
      </c>
      <c r="F187" s="242" t="s">
        <v>11586</v>
      </c>
      <c r="G187" s="243">
        <v>1</v>
      </c>
      <c r="H187" s="243">
        <v>1</v>
      </c>
      <c r="I187" s="240" t="s">
        <v>11587</v>
      </c>
      <c r="J187" s="240" t="s">
        <v>1233</v>
      </c>
      <c r="K187" s="243">
        <v>2023</v>
      </c>
      <c r="L187" s="240" t="s">
        <v>9186</v>
      </c>
      <c r="M187" s="242"/>
      <c r="N187" s="244" t="s">
        <v>11588</v>
      </c>
      <c r="O187"/>
    </row>
    <row r="188" spans="1:15" ht="26.4">
      <c r="A188" s="230">
        <v>187</v>
      </c>
      <c r="B188" s="240" t="s">
        <v>571</v>
      </c>
      <c r="C188" s="240" t="s">
        <v>9598</v>
      </c>
      <c r="D188" s="241" t="s">
        <v>11589</v>
      </c>
      <c r="E188" s="241" t="s">
        <v>11590</v>
      </c>
      <c r="F188" s="242" t="s">
        <v>11591</v>
      </c>
      <c r="G188" s="243">
        <v>1</v>
      </c>
      <c r="H188" s="243">
        <v>1</v>
      </c>
      <c r="I188" s="240" t="s">
        <v>11592</v>
      </c>
      <c r="J188" s="240" t="s">
        <v>1233</v>
      </c>
      <c r="K188" s="243">
        <v>2023</v>
      </c>
      <c r="L188" s="240" t="s">
        <v>9186</v>
      </c>
      <c r="M188" s="242"/>
      <c r="N188" s="244" t="s">
        <v>11593</v>
      </c>
      <c r="O188"/>
    </row>
    <row r="189" spans="1:15">
      <c r="A189" s="230">
        <v>188</v>
      </c>
      <c r="B189" s="240" t="s">
        <v>571</v>
      </c>
      <c r="C189" s="240" t="s">
        <v>9614</v>
      </c>
      <c r="D189" s="241" t="s">
        <v>11594</v>
      </c>
      <c r="E189" s="241" t="s">
        <v>11595</v>
      </c>
      <c r="F189" s="242" t="s">
        <v>11596</v>
      </c>
      <c r="G189" s="243">
        <v>1</v>
      </c>
      <c r="H189" s="243">
        <v>1</v>
      </c>
      <c r="I189" s="240" t="s">
        <v>9691</v>
      </c>
      <c r="J189" s="240" t="s">
        <v>1233</v>
      </c>
      <c r="K189" s="243">
        <v>2023</v>
      </c>
      <c r="L189" s="240" t="s">
        <v>9186</v>
      </c>
      <c r="M189" s="242"/>
      <c r="N189" s="244" t="s">
        <v>11597</v>
      </c>
      <c r="O189"/>
    </row>
    <row r="190" spans="1:15">
      <c r="A190" s="230">
        <v>189</v>
      </c>
      <c r="B190" s="240" t="s">
        <v>571</v>
      </c>
      <c r="C190" s="240" t="s">
        <v>9598</v>
      </c>
      <c r="D190" s="241" t="s">
        <v>11598</v>
      </c>
      <c r="E190" s="241" t="s">
        <v>11599</v>
      </c>
      <c r="F190" s="242" t="s">
        <v>11600</v>
      </c>
      <c r="G190" s="243">
        <v>1</v>
      </c>
      <c r="H190" s="243">
        <v>1</v>
      </c>
      <c r="I190" s="240" t="s">
        <v>11601</v>
      </c>
      <c r="J190" s="240" t="s">
        <v>1233</v>
      </c>
      <c r="K190" s="243">
        <v>2023</v>
      </c>
      <c r="L190" s="240" t="s">
        <v>9186</v>
      </c>
      <c r="M190" s="242"/>
      <c r="N190" s="244" t="s">
        <v>11602</v>
      </c>
      <c r="O190"/>
    </row>
    <row r="191" spans="1:15" ht="26.4">
      <c r="A191" s="230">
        <v>190</v>
      </c>
      <c r="B191" s="240" t="s">
        <v>571</v>
      </c>
      <c r="C191" s="240" t="s">
        <v>9630</v>
      </c>
      <c r="D191" s="241" t="s">
        <v>11603</v>
      </c>
      <c r="E191" s="241" t="s">
        <v>11604</v>
      </c>
      <c r="F191" s="242" t="s">
        <v>11605</v>
      </c>
      <c r="G191" s="243">
        <v>1</v>
      </c>
      <c r="H191" s="243">
        <v>1</v>
      </c>
      <c r="I191" s="240" t="s">
        <v>1497</v>
      </c>
      <c r="J191" s="240" t="s">
        <v>1233</v>
      </c>
      <c r="K191" s="243">
        <v>2023</v>
      </c>
      <c r="L191" s="240" t="s">
        <v>9186</v>
      </c>
      <c r="M191" s="242"/>
      <c r="N191" s="244" t="s">
        <v>11606</v>
      </c>
      <c r="O191"/>
    </row>
    <row r="192" spans="1:15" ht="26.4">
      <c r="A192" s="230">
        <v>191</v>
      </c>
      <c r="B192" s="240" t="s">
        <v>571</v>
      </c>
      <c r="C192" s="240" t="s">
        <v>9598</v>
      </c>
      <c r="D192" s="241" t="s">
        <v>11607</v>
      </c>
      <c r="E192" s="241" t="s">
        <v>11608</v>
      </c>
      <c r="F192" s="242" t="s">
        <v>11609</v>
      </c>
      <c r="G192" s="243">
        <v>1</v>
      </c>
      <c r="H192" s="243">
        <v>1</v>
      </c>
      <c r="I192" s="240" t="s">
        <v>11610</v>
      </c>
      <c r="J192" s="240" t="s">
        <v>1233</v>
      </c>
      <c r="K192" s="243">
        <v>2023</v>
      </c>
      <c r="L192" s="240" t="s">
        <v>9186</v>
      </c>
      <c r="M192" s="242"/>
      <c r="N192" s="244" t="s">
        <v>11611</v>
      </c>
      <c r="O192"/>
    </row>
    <row r="193" spans="1:15" ht="26.4">
      <c r="A193" s="230">
        <v>192</v>
      </c>
      <c r="B193" s="240" t="s">
        <v>571</v>
      </c>
      <c r="C193" s="240" t="s">
        <v>9598</v>
      </c>
      <c r="D193" s="241" t="s">
        <v>11612</v>
      </c>
      <c r="E193" s="241" t="s">
        <v>11613</v>
      </c>
      <c r="F193" s="242" t="s">
        <v>11614</v>
      </c>
      <c r="G193" s="243">
        <v>1</v>
      </c>
      <c r="H193" s="243">
        <v>1</v>
      </c>
      <c r="I193" s="240" t="s">
        <v>11615</v>
      </c>
      <c r="J193" s="240" t="s">
        <v>1233</v>
      </c>
      <c r="K193" s="243">
        <v>2023</v>
      </c>
      <c r="L193" s="240" t="s">
        <v>9186</v>
      </c>
      <c r="M193" s="242"/>
      <c r="N193" s="244" t="s">
        <v>11616</v>
      </c>
      <c r="O193"/>
    </row>
    <row r="194" spans="1:15">
      <c r="O194"/>
    </row>
    <row r="195" spans="1:15">
      <c r="O195"/>
    </row>
    <row r="196" spans="1:15">
      <c r="O196"/>
    </row>
    <row r="197" spans="1:15">
      <c r="O197"/>
    </row>
    <row r="198" spans="1:15">
      <c r="O198"/>
    </row>
    <row r="199" spans="1:15">
      <c r="O199"/>
    </row>
    <row r="200" spans="1:15">
      <c r="O200"/>
    </row>
    <row r="201" spans="1:15">
      <c r="O201"/>
    </row>
    <row r="202" spans="1:15">
      <c r="O202"/>
    </row>
    <row r="203" spans="1:15">
      <c r="O203"/>
    </row>
    <row r="204" spans="1:15">
      <c r="O204"/>
    </row>
    <row r="205" spans="1:15">
      <c r="O205"/>
    </row>
    <row r="206" spans="1:15">
      <c r="O206"/>
    </row>
    <row r="207" spans="1:15">
      <c r="O207"/>
    </row>
    <row r="208" spans="1:15">
      <c r="O208"/>
    </row>
    <row r="209" spans="15:15">
      <c r="O209"/>
    </row>
    <row r="210" spans="15:15">
      <c r="O210"/>
    </row>
    <row r="211" spans="15:15">
      <c r="O211"/>
    </row>
    <row r="212" spans="15:15">
      <c r="O212"/>
    </row>
    <row r="213" spans="15:15">
      <c r="O213"/>
    </row>
    <row r="214" spans="15:15">
      <c r="O214"/>
    </row>
    <row r="215" spans="15:15">
      <c r="O215"/>
    </row>
    <row r="216" spans="15:15">
      <c r="O216"/>
    </row>
    <row r="217" spans="15:15">
      <c r="O217"/>
    </row>
    <row r="218" spans="15:15">
      <c r="O218"/>
    </row>
    <row r="219" spans="15:15">
      <c r="O219"/>
    </row>
    <row r="220" spans="15:15">
      <c r="O220"/>
    </row>
    <row r="221" spans="15:15">
      <c r="O221"/>
    </row>
    <row r="222" spans="15:15">
      <c r="O222"/>
    </row>
    <row r="223" spans="15:15">
      <c r="O223"/>
    </row>
    <row r="224" spans="15:15">
      <c r="O224"/>
    </row>
    <row r="225" spans="15:15">
      <c r="O225"/>
    </row>
    <row r="226" spans="15:15">
      <c r="O226"/>
    </row>
    <row r="227" spans="15:15">
      <c r="O227"/>
    </row>
    <row r="228" spans="15:15">
      <c r="O228"/>
    </row>
    <row r="229" spans="15:15">
      <c r="O229"/>
    </row>
    <row r="230" spans="15:15">
      <c r="O230"/>
    </row>
    <row r="231" spans="15:15">
      <c r="O231"/>
    </row>
    <row r="232" spans="15:15">
      <c r="O232"/>
    </row>
    <row r="233" spans="15:15">
      <c r="O233"/>
    </row>
    <row r="234" spans="15:15">
      <c r="O234"/>
    </row>
    <row r="235" spans="15:15">
      <c r="O235"/>
    </row>
    <row r="236" spans="15:15">
      <c r="O236"/>
    </row>
    <row r="237" spans="15:15">
      <c r="O237"/>
    </row>
    <row r="238" spans="15:15">
      <c r="O238"/>
    </row>
    <row r="239" spans="15:15">
      <c r="O239"/>
    </row>
    <row r="240" spans="15:15">
      <c r="O240"/>
    </row>
    <row r="241" spans="15:15">
      <c r="O241"/>
    </row>
    <row r="242" spans="15:15">
      <c r="O242"/>
    </row>
    <row r="243" spans="15:15">
      <c r="O243"/>
    </row>
    <row r="244" spans="15:15">
      <c r="O244"/>
    </row>
    <row r="245" spans="15:15">
      <c r="O245"/>
    </row>
    <row r="246" spans="15:15">
      <c r="O246"/>
    </row>
    <row r="247" spans="15:15">
      <c r="O247"/>
    </row>
    <row r="248" spans="15:15">
      <c r="O248"/>
    </row>
    <row r="249" spans="15:15">
      <c r="O249"/>
    </row>
    <row r="250" spans="15:15">
      <c r="O250"/>
    </row>
    <row r="251" spans="15:15">
      <c r="O251"/>
    </row>
    <row r="252" spans="15:15">
      <c r="O252"/>
    </row>
    <row r="253" spans="15:15">
      <c r="O253"/>
    </row>
    <row r="254" spans="15:15">
      <c r="O254"/>
    </row>
    <row r="255" spans="15:15">
      <c r="O255"/>
    </row>
    <row r="256" spans="15:15">
      <c r="O256"/>
    </row>
    <row r="257" spans="15:15">
      <c r="O257"/>
    </row>
    <row r="258" spans="15:15">
      <c r="O258"/>
    </row>
    <row r="259" spans="15:15">
      <c r="O259"/>
    </row>
    <row r="260" spans="15:15">
      <c r="O260"/>
    </row>
    <row r="261" spans="15:15">
      <c r="O261"/>
    </row>
    <row r="262" spans="15:15">
      <c r="O262"/>
    </row>
    <row r="263" spans="15:15">
      <c r="O263"/>
    </row>
    <row r="264" spans="15:15">
      <c r="O264"/>
    </row>
    <row r="265" spans="15:15">
      <c r="O265"/>
    </row>
    <row r="266" spans="15:15">
      <c r="O266"/>
    </row>
    <row r="267" spans="15:15">
      <c r="O267"/>
    </row>
    <row r="268" spans="15:15">
      <c r="O268"/>
    </row>
    <row r="269" spans="15:15">
      <c r="O269"/>
    </row>
    <row r="270" spans="15:15">
      <c r="O270"/>
    </row>
    <row r="271" spans="15:15">
      <c r="O271"/>
    </row>
    <row r="272" spans="15:15">
      <c r="O272"/>
    </row>
    <row r="273" spans="15:15">
      <c r="O273"/>
    </row>
    <row r="274" spans="15:15">
      <c r="O274"/>
    </row>
    <row r="275" spans="15:15">
      <c r="O275"/>
    </row>
    <row r="276" spans="15:15">
      <c r="O276"/>
    </row>
    <row r="277" spans="15:15">
      <c r="O277"/>
    </row>
    <row r="278" spans="15:15">
      <c r="O278"/>
    </row>
    <row r="279" spans="15:15">
      <c r="O279"/>
    </row>
    <row r="280" spans="15:15">
      <c r="O280"/>
    </row>
    <row r="281" spans="15:15">
      <c r="O281"/>
    </row>
    <row r="282" spans="15:15">
      <c r="O282"/>
    </row>
    <row r="283" spans="15:15">
      <c r="O283"/>
    </row>
    <row r="284" spans="15:15">
      <c r="O284"/>
    </row>
    <row r="285" spans="15:15">
      <c r="O285"/>
    </row>
    <row r="286" spans="15:15">
      <c r="O286"/>
    </row>
    <row r="287" spans="15:15">
      <c r="O287"/>
    </row>
    <row r="288" spans="15:15">
      <c r="O288"/>
    </row>
    <row r="289" spans="15:15">
      <c r="O289"/>
    </row>
    <row r="290" spans="15:15">
      <c r="O290"/>
    </row>
    <row r="291" spans="15:15">
      <c r="O291"/>
    </row>
    <row r="292" spans="15:15">
      <c r="O292"/>
    </row>
    <row r="293" spans="15:15">
      <c r="O293"/>
    </row>
    <row r="294" spans="15:15">
      <c r="O294"/>
    </row>
    <row r="295" spans="15:15">
      <c r="O295"/>
    </row>
    <row r="296" spans="15:15">
      <c r="O296"/>
    </row>
    <row r="297" spans="15:15">
      <c r="O297"/>
    </row>
    <row r="298" spans="15:15">
      <c r="O298"/>
    </row>
    <row r="299" spans="15:15">
      <c r="O299"/>
    </row>
    <row r="300" spans="15:15">
      <c r="O300"/>
    </row>
    <row r="301" spans="15:15">
      <c r="O301"/>
    </row>
    <row r="302" spans="15:15">
      <c r="O302"/>
    </row>
    <row r="303" spans="15:15">
      <c r="O303"/>
    </row>
    <row r="304" spans="15:15">
      <c r="O304"/>
    </row>
    <row r="305" spans="15:15">
      <c r="O305"/>
    </row>
    <row r="306" spans="15:15">
      <c r="O306"/>
    </row>
    <row r="307" spans="15:15">
      <c r="O307"/>
    </row>
    <row r="308" spans="15:15">
      <c r="O308"/>
    </row>
    <row r="309" spans="15:15">
      <c r="O309"/>
    </row>
    <row r="310" spans="15:15">
      <c r="O310"/>
    </row>
    <row r="311" spans="15:15">
      <c r="O311"/>
    </row>
    <row r="312" spans="15:15">
      <c r="O312"/>
    </row>
    <row r="313" spans="15:15">
      <c r="O313"/>
    </row>
    <row r="314" spans="15:15">
      <c r="O314"/>
    </row>
    <row r="315" spans="15:15">
      <c r="O315"/>
    </row>
    <row r="316" spans="15:15">
      <c r="O316"/>
    </row>
    <row r="317" spans="15:15">
      <c r="O317"/>
    </row>
    <row r="318" spans="15:15">
      <c r="O318"/>
    </row>
    <row r="319" spans="15:15">
      <c r="O319"/>
    </row>
    <row r="320" spans="15:15">
      <c r="O320"/>
    </row>
    <row r="321" spans="15:15">
      <c r="O321"/>
    </row>
    <row r="322" spans="15:15">
      <c r="O322"/>
    </row>
    <row r="323" spans="15:15">
      <c r="O323"/>
    </row>
    <row r="324" spans="15:15">
      <c r="O324"/>
    </row>
    <row r="325" spans="15:15">
      <c r="O325"/>
    </row>
    <row r="326" spans="15:15">
      <c r="O326"/>
    </row>
    <row r="327" spans="15:15">
      <c r="O327"/>
    </row>
    <row r="328" spans="15:15">
      <c r="O328"/>
    </row>
    <row r="329" spans="15:15">
      <c r="O329"/>
    </row>
    <row r="330" spans="15:15">
      <c r="O330"/>
    </row>
    <row r="331" spans="15:15">
      <c r="O331"/>
    </row>
    <row r="332" spans="15:15">
      <c r="O332"/>
    </row>
    <row r="333" spans="15:15">
      <c r="O333"/>
    </row>
    <row r="334" spans="15:15">
      <c r="O334"/>
    </row>
    <row r="335" spans="15:15">
      <c r="O335"/>
    </row>
    <row r="336" spans="15:15">
      <c r="O336"/>
    </row>
    <row r="337" spans="15:15">
      <c r="O337"/>
    </row>
    <row r="338" spans="15:15">
      <c r="O338"/>
    </row>
    <row r="339" spans="15:15">
      <c r="O339"/>
    </row>
    <row r="340" spans="15:15">
      <c r="O340"/>
    </row>
    <row r="341" spans="15:15">
      <c r="O341"/>
    </row>
    <row r="342" spans="15:15">
      <c r="O342"/>
    </row>
    <row r="343" spans="15:15">
      <c r="O343"/>
    </row>
    <row r="344" spans="15:15">
      <c r="O344"/>
    </row>
    <row r="345" spans="15:15">
      <c r="O345"/>
    </row>
    <row r="346" spans="15:15">
      <c r="O346"/>
    </row>
    <row r="347" spans="15:15">
      <c r="O347"/>
    </row>
    <row r="348" spans="15:15">
      <c r="O348"/>
    </row>
    <row r="349" spans="15:15">
      <c r="O349"/>
    </row>
    <row r="350" spans="15:15">
      <c r="O350"/>
    </row>
    <row r="351" spans="15:15">
      <c r="O351"/>
    </row>
    <row r="352" spans="15:15">
      <c r="O352"/>
    </row>
    <row r="353" spans="15:15">
      <c r="O353"/>
    </row>
    <row r="354" spans="15:15">
      <c r="O354"/>
    </row>
    <row r="355" spans="15:15">
      <c r="O355"/>
    </row>
    <row r="356" spans="15:15">
      <c r="O356"/>
    </row>
    <row r="357" spans="15:15">
      <c r="O357"/>
    </row>
    <row r="358" spans="15:15">
      <c r="O358"/>
    </row>
    <row r="359" spans="15:15">
      <c r="O359"/>
    </row>
    <row r="360" spans="15:15">
      <c r="O360"/>
    </row>
    <row r="361" spans="15:15">
      <c r="O361"/>
    </row>
    <row r="362" spans="15:15">
      <c r="O362"/>
    </row>
    <row r="363" spans="15:15">
      <c r="O363"/>
    </row>
    <row r="364" spans="15:15">
      <c r="O364"/>
    </row>
    <row r="365" spans="15:15">
      <c r="O365"/>
    </row>
    <row r="366" spans="15:15">
      <c r="O366"/>
    </row>
    <row r="367" spans="15:15">
      <c r="O367"/>
    </row>
    <row r="368" spans="15:15">
      <c r="O368"/>
    </row>
    <row r="369" spans="15:15">
      <c r="O369"/>
    </row>
    <row r="370" spans="15:15">
      <c r="O370"/>
    </row>
    <row r="371" spans="15:15">
      <c r="O371"/>
    </row>
    <row r="372" spans="15:15">
      <c r="O372"/>
    </row>
    <row r="373" spans="15:15">
      <c r="O373"/>
    </row>
    <row r="374" spans="15:15">
      <c r="O374"/>
    </row>
    <row r="375" spans="15:15">
      <c r="O375"/>
    </row>
    <row r="376" spans="15:15">
      <c r="O376"/>
    </row>
    <row r="377" spans="15:15">
      <c r="O377"/>
    </row>
    <row r="378" spans="15:15">
      <c r="O378"/>
    </row>
    <row r="379" spans="15:15">
      <c r="O379"/>
    </row>
    <row r="380" spans="15:15">
      <c r="O380"/>
    </row>
    <row r="381" spans="15:15">
      <c r="O381"/>
    </row>
    <row r="382" spans="15:15">
      <c r="O382"/>
    </row>
    <row r="383" spans="15:15">
      <c r="O383"/>
    </row>
    <row r="384" spans="15:15">
      <c r="O384"/>
    </row>
    <row r="385" spans="15:15">
      <c r="O385"/>
    </row>
    <row r="386" spans="15:15">
      <c r="O386"/>
    </row>
    <row r="387" spans="15:15">
      <c r="O387"/>
    </row>
    <row r="388" spans="15:15">
      <c r="O388"/>
    </row>
    <row r="389" spans="15:15">
      <c r="O389"/>
    </row>
    <row r="390" spans="15:15">
      <c r="O390"/>
    </row>
    <row r="391" spans="15:15">
      <c r="O391"/>
    </row>
    <row r="392" spans="15:15">
      <c r="O392"/>
    </row>
    <row r="393" spans="15:15">
      <c r="O393"/>
    </row>
    <row r="394" spans="15:15">
      <c r="O394"/>
    </row>
    <row r="395" spans="15:15">
      <c r="O395"/>
    </row>
    <row r="396" spans="15:15">
      <c r="O396"/>
    </row>
    <row r="397" spans="15:15">
      <c r="O397"/>
    </row>
    <row r="398" spans="15:15">
      <c r="O398"/>
    </row>
    <row r="399" spans="15:15">
      <c r="O399"/>
    </row>
    <row r="400" spans="15:15">
      <c r="O400"/>
    </row>
    <row r="401" spans="15:15">
      <c r="O401"/>
    </row>
    <row r="402" spans="15:15">
      <c r="O402"/>
    </row>
    <row r="403" spans="15:15">
      <c r="O403"/>
    </row>
    <row r="404" spans="15:15">
      <c r="O404"/>
    </row>
    <row r="405" spans="15:15">
      <c r="O405"/>
    </row>
    <row r="406" spans="15:15">
      <c r="O406"/>
    </row>
    <row r="407" spans="15:15">
      <c r="O407"/>
    </row>
    <row r="408" spans="15:15">
      <c r="O408"/>
    </row>
    <row r="409" spans="15:15">
      <c r="O409"/>
    </row>
    <row r="410" spans="15:15">
      <c r="O410"/>
    </row>
    <row r="411" spans="15:15">
      <c r="O411"/>
    </row>
    <row r="412" spans="15:15">
      <c r="O412"/>
    </row>
    <row r="413" spans="15:15">
      <c r="O413"/>
    </row>
    <row r="414" spans="15:15">
      <c r="O414"/>
    </row>
    <row r="415" spans="15:15">
      <c r="O415"/>
    </row>
    <row r="416" spans="15:15">
      <c r="O416"/>
    </row>
    <row r="417" spans="15:15">
      <c r="O417"/>
    </row>
    <row r="418" spans="15:15">
      <c r="O418"/>
    </row>
    <row r="419" spans="15:15">
      <c r="O419"/>
    </row>
    <row r="420" spans="15:15">
      <c r="O420"/>
    </row>
    <row r="421" spans="15:15">
      <c r="O421"/>
    </row>
    <row r="422" spans="15:15">
      <c r="O422"/>
    </row>
    <row r="423" spans="15:15">
      <c r="O423"/>
    </row>
    <row r="424" spans="15:15">
      <c r="O424"/>
    </row>
    <row r="425" spans="15:15">
      <c r="O425"/>
    </row>
    <row r="426" spans="15:15">
      <c r="O426"/>
    </row>
    <row r="427" spans="15:15">
      <c r="O427"/>
    </row>
    <row r="428" spans="15:15">
      <c r="O428"/>
    </row>
    <row r="429" spans="15:15">
      <c r="O429"/>
    </row>
    <row r="430" spans="15:15">
      <c r="O430"/>
    </row>
    <row r="431" spans="15:15">
      <c r="O431"/>
    </row>
    <row r="432" spans="15:15">
      <c r="O432"/>
    </row>
    <row r="433" spans="15:15">
      <c r="O433"/>
    </row>
    <row r="434" spans="15:15">
      <c r="O434"/>
    </row>
    <row r="435" spans="15:15">
      <c r="O435"/>
    </row>
    <row r="436" spans="15:15">
      <c r="O436"/>
    </row>
    <row r="437" spans="15:15">
      <c r="O437"/>
    </row>
    <row r="438" spans="15:15">
      <c r="O438"/>
    </row>
    <row r="439" spans="15:15">
      <c r="O439"/>
    </row>
    <row r="440" spans="15:15">
      <c r="O440"/>
    </row>
    <row r="441" spans="15:15">
      <c r="O441"/>
    </row>
    <row r="442" spans="15:15">
      <c r="O442"/>
    </row>
    <row r="443" spans="15:15">
      <c r="O443"/>
    </row>
    <row r="444" spans="15:15">
      <c r="O444"/>
    </row>
    <row r="445" spans="15:15">
      <c r="O445"/>
    </row>
    <row r="446" spans="15:15">
      <c r="O446"/>
    </row>
    <row r="447" spans="15:15">
      <c r="O447"/>
    </row>
    <row r="448" spans="15:15">
      <c r="O448"/>
    </row>
    <row r="449" spans="15:15">
      <c r="O449"/>
    </row>
    <row r="450" spans="15:15">
      <c r="O450"/>
    </row>
    <row r="451" spans="15:15">
      <c r="O451"/>
    </row>
    <row r="452" spans="15:15">
      <c r="O452"/>
    </row>
    <row r="453" spans="15:15">
      <c r="O453"/>
    </row>
    <row r="454" spans="15:15">
      <c r="O454"/>
    </row>
    <row r="455" spans="15:15">
      <c r="O455"/>
    </row>
    <row r="456" spans="15:15">
      <c r="O456"/>
    </row>
    <row r="457" spans="15:15">
      <c r="O457"/>
    </row>
    <row r="458" spans="15:15">
      <c r="O458"/>
    </row>
    <row r="459" spans="15:15">
      <c r="O459"/>
    </row>
    <row r="460" spans="15:15">
      <c r="O460"/>
    </row>
    <row r="461" spans="15:15">
      <c r="O461"/>
    </row>
    <row r="462" spans="15:15">
      <c r="O462"/>
    </row>
    <row r="463" spans="15:15">
      <c r="O463"/>
    </row>
    <row r="464" spans="15:15">
      <c r="O464"/>
    </row>
    <row r="465" spans="15:15">
      <c r="O465"/>
    </row>
    <row r="466" spans="15:15">
      <c r="O466"/>
    </row>
    <row r="467" spans="15:15">
      <c r="O467"/>
    </row>
    <row r="468" spans="15:15">
      <c r="O468"/>
    </row>
    <row r="469" spans="15:15">
      <c r="O469"/>
    </row>
    <row r="470" spans="15:15">
      <c r="O470"/>
    </row>
    <row r="471" spans="15:15">
      <c r="O471"/>
    </row>
    <row r="472" spans="15:15">
      <c r="O472"/>
    </row>
    <row r="473" spans="15:15">
      <c r="O473"/>
    </row>
    <row r="474" spans="15:15">
      <c r="O474"/>
    </row>
    <row r="475" spans="15:15">
      <c r="O475"/>
    </row>
    <row r="476" spans="15:15">
      <c r="O476"/>
    </row>
    <row r="477" spans="15:15">
      <c r="O477"/>
    </row>
    <row r="478" spans="15:15">
      <c r="O478"/>
    </row>
    <row r="479" spans="15:15">
      <c r="O479"/>
    </row>
    <row r="480" spans="15:15">
      <c r="O480"/>
    </row>
    <row r="481" spans="15:15">
      <c r="O481"/>
    </row>
    <row r="482" spans="15:15">
      <c r="O482"/>
    </row>
    <row r="483" spans="15:15">
      <c r="O483"/>
    </row>
    <row r="484" spans="15:15">
      <c r="O484"/>
    </row>
    <row r="485" spans="15:15">
      <c r="O485"/>
    </row>
    <row r="486" spans="15:15">
      <c r="O486"/>
    </row>
    <row r="487" spans="15:15">
      <c r="O487"/>
    </row>
    <row r="488" spans="15:15">
      <c r="O488"/>
    </row>
    <row r="489" spans="15:15">
      <c r="O489"/>
    </row>
    <row r="490" spans="15:15">
      <c r="O490"/>
    </row>
    <row r="491" spans="15:15">
      <c r="O491"/>
    </row>
    <row r="492" spans="15:15">
      <c r="O492"/>
    </row>
    <row r="493" spans="15:15">
      <c r="O493"/>
    </row>
    <row r="494" spans="15:15">
      <c r="O494"/>
    </row>
    <row r="495" spans="15:15">
      <c r="O495"/>
    </row>
    <row r="496" spans="15:15">
      <c r="O496"/>
    </row>
    <row r="497" spans="15:15">
      <c r="O497"/>
    </row>
    <row r="498" spans="15:15">
      <c r="O498"/>
    </row>
    <row r="499" spans="15:15">
      <c r="O499"/>
    </row>
    <row r="500" spans="15:15">
      <c r="O500"/>
    </row>
    <row r="501" spans="15:15">
      <c r="O501"/>
    </row>
    <row r="502" spans="15:15">
      <c r="O502"/>
    </row>
    <row r="503" spans="15:15">
      <c r="O503"/>
    </row>
    <row r="504" spans="15:15">
      <c r="O504"/>
    </row>
    <row r="505" spans="15:15">
      <c r="O505"/>
    </row>
    <row r="506" spans="15:15">
      <c r="O506"/>
    </row>
    <row r="507" spans="15:15">
      <c r="O507"/>
    </row>
    <row r="508" spans="15:15">
      <c r="O508"/>
    </row>
    <row r="509" spans="15:15">
      <c r="O509"/>
    </row>
    <row r="510" spans="15:15">
      <c r="O510"/>
    </row>
    <row r="511" spans="15:15">
      <c r="O511"/>
    </row>
    <row r="512" spans="15:15">
      <c r="O512"/>
    </row>
    <row r="513" spans="15:15">
      <c r="O513"/>
    </row>
    <row r="514" spans="15:15">
      <c r="O514"/>
    </row>
    <row r="515" spans="15:15">
      <c r="O515"/>
    </row>
    <row r="516" spans="15:15">
      <c r="O516"/>
    </row>
    <row r="517" spans="15:15">
      <c r="O517"/>
    </row>
    <row r="518" spans="15:15">
      <c r="O518"/>
    </row>
    <row r="519" spans="15:15">
      <c r="O519"/>
    </row>
    <row r="520" spans="15:15">
      <c r="O520"/>
    </row>
    <row r="521" spans="15:15">
      <c r="O521"/>
    </row>
    <row r="522" spans="15:15">
      <c r="O522"/>
    </row>
    <row r="523" spans="15:15">
      <c r="O523"/>
    </row>
    <row r="524" spans="15:15">
      <c r="O524"/>
    </row>
    <row r="525" spans="15:15">
      <c r="O525"/>
    </row>
  </sheetData>
  <phoneticPr fontId="3" type="noConversion"/>
  <hyperlinks>
    <hyperlink ref="N2" r:id="rId1" xr:uid="{4FA17097-53F5-481B-81A9-F40C7C27AFB9}"/>
    <hyperlink ref="N3" r:id="rId2" xr:uid="{A1685EA9-6A3D-4850-B106-2D28532DA177}"/>
    <hyperlink ref="N4" r:id="rId3" xr:uid="{EEE69228-2A48-4307-A7EE-E8348086D1FF}"/>
    <hyperlink ref="N5" r:id="rId4" xr:uid="{81586D38-F5B1-4D80-8D5E-81E53FD931C2}"/>
    <hyperlink ref="N6" r:id="rId5" xr:uid="{A32132BE-B65E-4A94-84DC-F74461AAF02F}"/>
    <hyperlink ref="N7" r:id="rId6" xr:uid="{1263238A-AD79-4082-997D-CF086BF4AC48}"/>
    <hyperlink ref="N8" r:id="rId7" xr:uid="{39F1528A-BA6D-4133-9020-5AEE645938A0}"/>
    <hyperlink ref="N9" r:id="rId8" xr:uid="{77BDB4CB-4877-4CB5-A4D5-CE4A39DD8ACC}"/>
    <hyperlink ref="N10" r:id="rId9" xr:uid="{66953505-C659-40B5-834B-5DB2147C1DCA}"/>
    <hyperlink ref="N11" r:id="rId10" xr:uid="{B4163C36-4DF8-49B6-850E-E0FEF3DE38EA}"/>
    <hyperlink ref="N12" r:id="rId11" xr:uid="{61C85ACD-2AF8-43EA-A07C-7FBCE83AB294}"/>
    <hyperlink ref="N13" r:id="rId12" xr:uid="{FA1851B5-73BD-4D3B-B87D-5B22B02EEAA9}"/>
    <hyperlink ref="N14" r:id="rId13" xr:uid="{258A6E24-4C8E-43B0-8725-B7F63EEA3516}"/>
    <hyperlink ref="N15" r:id="rId14" xr:uid="{632932D0-493D-4A6F-8DC3-6BC366DD85FD}"/>
    <hyperlink ref="N16" r:id="rId15" xr:uid="{43FA21F6-FFEE-4CEF-AFB5-532C3DBA9781}"/>
    <hyperlink ref="N17" r:id="rId16" xr:uid="{577AA550-9616-46B0-89A6-7800AD959A3A}"/>
    <hyperlink ref="N18" r:id="rId17" xr:uid="{680D9E92-94CD-4197-ABA0-92025D6B5C9B}"/>
    <hyperlink ref="N19" r:id="rId18" xr:uid="{9691D5CF-1C33-4B4B-AFE6-ADBAE777D112}"/>
    <hyperlink ref="N20" r:id="rId19" xr:uid="{530EB5B5-8C99-4CF9-A112-AC3DAF1E6121}"/>
    <hyperlink ref="N21" r:id="rId20" xr:uid="{57782548-2716-4D9F-AE0F-7540C8A346F6}"/>
    <hyperlink ref="N22" r:id="rId21" xr:uid="{61A0FD59-49D1-4D9C-99D3-2F661540633C}"/>
    <hyperlink ref="N23" r:id="rId22" xr:uid="{01408029-1BFD-4E9F-8ED8-AD3AFA6C071D}"/>
    <hyperlink ref="N24" r:id="rId23" xr:uid="{776F2AB0-DFB2-4B94-A5BD-746995C54FFB}"/>
    <hyperlink ref="N25" r:id="rId24" xr:uid="{C8997368-49DC-4605-A22B-AEABB8280EB8}"/>
    <hyperlink ref="N26" r:id="rId25" xr:uid="{402457D9-0372-444F-80D7-238455E6136E}"/>
    <hyperlink ref="N27" r:id="rId26" xr:uid="{C8FD59C2-08ED-4F49-9B74-7BEA63815961}"/>
    <hyperlink ref="N28" r:id="rId27" xr:uid="{97522C8F-BBE4-4E4B-A047-A7293E1909E9}"/>
    <hyperlink ref="N29" r:id="rId28" xr:uid="{A2B50590-C0D2-433E-A22C-401007860ECD}"/>
    <hyperlink ref="N30" r:id="rId29" xr:uid="{1F4558B4-6BA6-4B57-96BA-3D3310198D1B}"/>
    <hyperlink ref="N31" r:id="rId30" xr:uid="{8EE92BDE-D656-479D-9444-469714F05AA9}"/>
    <hyperlink ref="N32" r:id="rId31" xr:uid="{38F41483-FAEB-4241-B36D-3B8797E1C568}"/>
    <hyperlink ref="N33" r:id="rId32" xr:uid="{16D2EFAD-43C2-4EEB-A1C7-82B1AB3D86A3}"/>
    <hyperlink ref="N34" r:id="rId33" xr:uid="{C36802FE-A472-4E49-AB0D-F5A42AEBFD2B}"/>
    <hyperlink ref="N35" r:id="rId34" xr:uid="{47259C12-B98C-4B03-836B-B701A6942F58}"/>
    <hyperlink ref="N36" r:id="rId35" xr:uid="{408DBD02-205C-4198-B561-9F57E2512BFA}"/>
    <hyperlink ref="N37" r:id="rId36" xr:uid="{690502FC-55F4-40A0-B409-CF20E4AD3FE5}"/>
    <hyperlink ref="N38" r:id="rId37" xr:uid="{EDD4C59E-9F3F-4D74-A5FD-2D678007B1D5}"/>
    <hyperlink ref="N40" r:id="rId38" xr:uid="{4BE34EB1-81DA-4262-BF6E-A546D723D49F}"/>
    <hyperlink ref="N41" r:id="rId39" xr:uid="{798AA3F2-41F8-4805-8FB4-174B79FF2E84}"/>
    <hyperlink ref="N39" r:id="rId40" xr:uid="{817EFD22-5271-4C9A-8E58-B7D75B2AAE52}"/>
    <hyperlink ref="N42" r:id="rId41" xr:uid="{6FCA362E-0168-48B2-B0DC-0439E8A0AFFA}"/>
    <hyperlink ref="N43" r:id="rId42" xr:uid="{97F907BB-F634-4692-A705-9B417ACB9E37}"/>
    <hyperlink ref="N44" r:id="rId43" xr:uid="{B4512689-218C-4CBB-BAB0-5688FE40B10E}"/>
    <hyperlink ref="N45" r:id="rId44" xr:uid="{25F34184-C60C-42A7-B886-EEACA5137EC6}"/>
    <hyperlink ref="N46" r:id="rId45" xr:uid="{655CE79A-7171-4039-9CA7-88357C1B715A}"/>
    <hyperlink ref="N47" r:id="rId46" xr:uid="{A4AC8E5C-9888-4725-93E5-13C7B14EE474}"/>
    <hyperlink ref="N48" r:id="rId47" xr:uid="{9BF9400B-B6DE-4308-8557-F1A8F8CC8C83}"/>
    <hyperlink ref="N49" r:id="rId48" xr:uid="{C29462DE-DD36-41C5-8FA3-BC6F0638E206}"/>
    <hyperlink ref="N50" r:id="rId49" xr:uid="{2A745F4C-885F-4889-9963-EC142111A5B4}"/>
    <hyperlink ref="N51" r:id="rId50" xr:uid="{4FBD9055-31BB-4FA5-A368-381334BB158C}"/>
    <hyperlink ref="N52" r:id="rId51" xr:uid="{93360B9E-EF9F-44D0-B8E3-D026C70039FC}"/>
    <hyperlink ref="N53" r:id="rId52" xr:uid="{D043A4D0-D2DB-439B-BF46-AB7059D8F214}"/>
    <hyperlink ref="N54" r:id="rId53" xr:uid="{46D84653-CF70-47D7-B97D-9696DB3EB2F3}"/>
    <hyperlink ref="N55" r:id="rId54" xr:uid="{13CFDE91-B1C6-403D-B994-8195A0A37AF1}"/>
    <hyperlink ref="N56" r:id="rId55" xr:uid="{F99E623A-26DD-401C-A6B6-728ACDE4BAD6}"/>
    <hyperlink ref="N57" r:id="rId56" xr:uid="{43477C21-44AF-403A-86A2-1716DA376DC4}"/>
    <hyperlink ref="N58" r:id="rId57" xr:uid="{A83DF08D-C079-45E5-A64D-6425A8CEA11A}"/>
    <hyperlink ref="N59" r:id="rId58" xr:uid="{071F7811-7FD1-4B61-9B06-FD98088E2F5F}"/>
    <hyperlink ref="N60" r:id="rId59" xr:uid="{208FFC86-CCD7-46F0-A49B-58D7D2315F68}"/>
    <hyperlink ref="N61" r:id="rId60" xr:uid="{013CB7E0-189E-49B1-9F98-0EEFEE14F55A}"/>
    <hyperlink ref="N63" r:id="rId61" xr:uid="{C46B1524-6152-425B-BFFB-FFB8A3D62A45}"/>
    <hyperlink ref="N64" r:id="rId62" xr:uid="{D872733A-005D-4512-8E16-674E1BF6B719}"/>
    <hyperlink ref="N62" r:id="rId63" xr:uid="{C8F71529-3B63-4BCF-AF10-C2ACE423149B}"/>
    <hyperlink ref="N65" r:id="rId64" xr:uid="{6373C9AC-DC0D-462E-A764-2F4797D270B5}"/>
    <hyperlink ref="N66" r:id="rId65" xr:uid="{1213C70E-B3BE-4EA5-9DDA-40550D6B86FF}"/>
    <hyperlink ref="N67" r:id="rId66" xr:uid="{3B293ECC-8F11-4204-AEF6-8A8AEA5C7458}"/>
    <hyperlink ref="N68" r:id="rId67" xr:uid="{264BCCCD-1F61-43D0-9F15-33D6619E2DC9}"/>
    <hyperlink ref="N69" r:id="rId68" xr:uid="{CB7FC06F-92C0-472D-BF45-DB9D2563FAC1}"/>
    <hyperlink ref="N70" r:id="rId69" xr:uid="{E74A0F75-A175-469E-AA31-195C59B33BE4}"/>
    <hyperlink ref="N71" r:id="rId70" xr:uid="{DA9F1B5E-DEA1-4A93-A744-E893D3842B8D}"/>
    <hyperlink ref="N72" r:id="rId71" xr:uid="{F65BB78C-112C-4A9D-BD98-F51A83F23511}"/>
    <hyperlink ref="N73" r:id="rId72" xr:uid="{070E24BF-2948-4C0E-AE0A-AFAD1DAE68B7}"/>
    <hyperlink ref="N74" r:id="rId73" xr:uid="{B1314C53-9CE6-45E7-B559-FA5A7E14AEAE}"/>
    <hyperlink ref="N75" r:id="rId74" xr:uid="{AAD9B832-13EF-4BFC-935F-2BAC2850E6A5}"/>
    <hyperlink ref="N76" r:id="rId75" xr:uid="{89DBC218-2CC2-448D-9CF7-C60BB9B6CC09}"/>
    <hyperlink ref="N77" r:id="rId76" xr:uid="{097EF79B-1B34-47B9-8872-B1002244A0C4}"/>
    <hyperlink ref="N78" r:id="rId77" xr:uid="{7856C0AF-CC87-4E4F-BB3D-7963887F1BD6}"/>
    <hyperlink ref="N79" r:id="rId78" xr:uid="{D38D8721-8613-46AF-8AA9-C1CA838CE7F2}"/>
    <hyperlink ref="N80" r:id="rId79" xr:uid="{DC49A2FF-A20B-4FAB-9E31-5973241F8C8C}"/>
    <hyperlink ref="N81" r:id="rId80" xr:uid="{1C06D184-0613-4B0A-B177-E34C46B74C67}"/>
    <hyperlink ref="N82" r:id="rId81" xr:uid="{A4857C5C-98AD-43F5-AAA6-DF7E4BDAE352}"/>
    <hyperlink ref="N83" r:id="rId82" xr:uid="{FD0D0697-8924-4CBA-A63C-B6304D4268B0}"/>
    <hyperlink ref="N84" r:id="rId83" xr:uid="{505F1511-5F5F-4401-9820-FE8A82F29AF8}"/>
    <hyperlink ref="N85" r:id="rId84" xr:uid="{CE524577-00D4-4441-B30B-1CD1A8826468}"/>
    <hyperlink ref="N86" r:id="rId85" xr:uid="{2FDB9BB0-6304-49BD-9170-20877ECDA19F}"/>
    <hyperlink ref="N87" r:id="rId86" xr:uid="{FDA4D19A-52FA-45CC-B11D-073DAC28303D}"/>
    <hyperlink ref="N88" r:id="rId87" xr:uid="{E6A9E729-D781-4FE0-98A4-82F038536603}"/>
    <hyperlink ref="N89" r:id="rId88" xr:uid="{52827984-848E-40EC-B834-AF0E37BA6ED0}"/>
    <hyperlink ref="N90" r:id="rId89" xr:uid="{A5CAD3E3-7414-40A0-8441-054DB7F13CBE}"/>
    <hyperlink ref="N91" r:id="rId90" xr:uid="{F0FD475D-CF46-4F2A-A663-17F66E0A1EE8}"/>
    <hyperlink ref="N92" r:id="rId91" xr:uid="{A23CEEE6-38F9-4FE8-8C4E-A9046F2C7B68}"/>
    <hyperlink ref="N93" r:id="rId92" xr:uid="{25A51686-83F0-4CA9-B47F-8ABA41D0529C}"/>
    <hyperlink ref="N94" r:id="rId93" xr:uid="{8DEC3516-DCC8-4B2F-A113-958F0724C9DB}"/>
    <hyperlink ref="N95" r:id="rId94" xr:uid="{2DC0907B-1D10-4A7F-9077-85B12B3DB47A}"/>
    <hyperlink ref="N96" r:id="rId95" xr:uid="{3EC0DE9D-11CD-4FB6-A140-1710B0A62F73}"/>
    <hyperlink ref="N97" r:id="rId96" xr:uid="{5318E909-9FA5-47D8-ADAF-E96345F92A71}"/>
    <hyperlink ref="N98" r:id="rId97" xr:uid="{C06F6A4F-65D7-4D6E-9341-0EF3CDBACBCE}"/>
    <hyperlink ref="N99" r:id="rId98" xr:uid="{471E3024-5AC1-4891-B1AD-65F7C1703B40}"/>
    <hyperlink ref="N100" r:id="rId99" xr:uid="{32A2F399-7D96-4916-AC61-E6D4A1882881}"/>
    <hyperlink ref="N101" r:id="rId100" xr:uid="{2D0B3D5D-9B91-4B05-A509-E8930DB0BF99}"/>
    <hyperlink ref="N102" r:id="rId101" xr:uid="{2CD3C4B8-6020-45CE-8E03-A9755B7EA09D}"/>
    <hyperlink ref="N103" r:id="rId102" xr:uid="{2D5A4A49-15FF-42C6-B9FD-766EC4E3B042}"/>
    <hyperlink ref="N104" r:id="rId103" xr:uid="{A164A238-9418-4F99-85A4-A1EAC21E4E5E}"/>
    <hyperlink ref="N105" r:id="rId104" xr:uid="{367D8EBE-3A48-4595-AA21-CF21638052EC}"/>
    <hyperlink ref="N106" r:id="rId105" xr:uid="{80373ADE-229D-4917-B4D1-104CB6A418B8}"/>
    <hyperlink ref="N107" r:id="rId106" xr:uid="{763455F0-105D-4999-BCD3-F369461D1A89}"/>
    <hyperlink ref="N108" r:id="rId107" xr:uid="{FAA5C00C-DC15-48A4-BFEA-F4DA595A0DBB}"/>
    <hyperlink ref="N109" r:id="rId108" xr:uid="{5AF5AFD3-8FFC-49B1-97C3-5440A30E071E}"/>
    <hyperlink ref="N110" r:id="rId109" xr:uid="{BD9EF2AA-6255-4992-9BD5-982EAD843037}"/>
    <hyperlink ref="N111" r:id="rId110" xr:uid="{C119A15E-20D0-491A-819E-F7D9AE38C4DD}"/>
    <hyperlink ref="N112" r:id="rId111" xr:uid="{95B34433-2FC4-4EBA-9271-D18E4D80ECEC}"/>
    <hyperlink ref="N113" r:id="rId112" xr:uid="{637B2CE6-1555-44E8-AF66-99046BA88530}"/>
    <hyperlink ref="N114" r:id="rId113" xr:uid="{0AC6B85A-126D-447E-820B-6CAE5EDB7F3A}"/>
    <hyperlink ref="N115" r:id="rId114" xr:uid="{F4ACC962-CACD-42E8-8CF7-E82D40D120EB}"/>
    <hyperlink ref="N116" r:id="rId115" xr:uid="{4EBB7426-DB7D-4B29-8255-2B5049D9A824}"/>
    <hyperlink ref="N117" r:id="rId116" xr:uid="{2898EA11-05E9-4C0D-81B3-94AC4CD2C6CC}"/>
    <hyperlink ref="N118" r:id="rId117" xr:uid="{D5A3348D-24BC-4B35-9FC4-D4FAB4AB5357}"/>
    <hyperlink ref="N119" r:id="rId118" xr:uid="{D5001EB3-8663-4471-8478-0435AC1B6AA8}"/>
    <hyperlink ref="N120" r:id="rId119" xr:uid="{60FD4918-2E6C-47DC-AFA3-3D096C3AA3C2}"/>
    <hyperlink ref="N121" r:id="rId120" xr:uid="{3EC4B554-C9E7-4A32-BE52-6B8C236559F2}"/>
    <hyperlink ref="N122" r:id="rId121" xr:uid="{2D44C7B8-C908-40BA-B6D7-EAD6FF67D450}"/>
    <hyperlink ref="N123" r:id="rId122" xr:uid="{409A6193-ED31-4E20-B610-93058B489B29}"/>
    <hyperlink ref="N124" r:id="rId123" xr:uid="{293E88BD-F6EB-418B-B86F-67CFCD4BDA9D}"/>
    <hyperlink ref="N125" r:id="rId124" xr:uid="{1752255E-FB2B-4B4B-82AB-D13BC5EA1CB3}"/>
    <hyperlink ref="N126" r:id="rId125" xr:uid="{F33E300A-BDF4-45A7-B995-0C3C7ADD5FF4}"/>
    <hyperlink ref="N127" r:id="rId126" xr:uid="{A0D4481F-6E2C-4848-B6C2-C05FF638C2D2}"/>
    <hyperlink ref="N128" r:id="rId127" xr:uid="{B8C32D11-3568-4A52-9C72-D612386CE5B6}"/>
    <hyperlink ref="N129" r:id="rId128" xr:uid="{DAA6A80F-5C45-4B93-80A7-5510F0F77E92}"/>
    <hyperlink ref="N130" r:id="rId129" xr:uid="{CE454D2E-A824-4C1E-B3C9-EBABF21A2829}"/>
    <hyperlink ref="N131" r:id="rId130" xr:uid="{0D6D75AA-D41B-4004-A103-9E82EB6CC882}"/>
    <hyperlink ref="N132" r:id="rId131" xr:uid="{B443F4F8-992E-4197-9A66-4AB547E0C6DD}"/>
    <hyperlink ref="N133" r:id="rId132" xr:uid="{E4365CBA-6988-4D7A-84A9-3F727133F6CA}"/>
    <hyperlink ref="N134" r:id="rId133" xr:uid="{3B6A2329-9C2B-46B6-AFFC-2DBE7409EB3D}"/>
    <hyperlink ref="N135" r:id="rId134" xr:uid="{A7A9E24F-0575-4D57-8141-E85BA3881501}"/>
    <hyperlink ref="N136" r:id="rId135" xr:uid="{B6CC1826-067C-4647-8ADA-5E263B72331C}"/>
    <hyperlink ref="N137" r:id="rId136" xr:uid="{6631E866-B0B3-4EB5-BF09-CD6F99826067}"/>
    <hyperlink ref="N138" r:id="rId137" xr:uid="{748394AC-49D8-4261-9096-FC750B65FC9D}"/>
    <hyperlink ref="N139" r:id="rId138" xr:uid="{35D2D21D-6E17-4F5B-90D2-C1E471E5347A}"/>
    <hyperlink ref="N140" r:id="rId139" xr:uid="{A189C582-E67C-44CC-872E-43F4E4A9461C}"/>
    <hyperlink ref="N141" r:id="rId140" xr:uid="{49E91281-3885-4978-BD7E-93DA0C95B808}"/>
    <hyperlink ref="N142" r:id="rId141" xr:uid="{F74E2E4E-6E9D-447B-97E2-834713A3FDF4}"/>
    <hyperlink ref="N143" r:id="rId142" xr:uid="{63885B7F-0E85-465A-992E-7CC3A1AD9EDA}"/>
    <hyperlink ref="N144" r:id="rId143" xr:uid="{C222C9E7-1745-488B-9831-FBA45BF6EBBA}"/>
    <hyperlink ref="N145" r:id="rId144" xr:uid="{2E8F7496-4894-44CA-B3A9-1FFD7946B491}"/>
    <hyperlink ref="N146" r:id="rId145" xr:uid="{045E9050-BD41-4CE8-A16A-51FE26571D01}"/>
    <hyperlink ref="N147" r:id="rId146" xr:uid="{3398D78C-32FE-49DC-8FBD-9C3838ED53F9}"/>
    <hyperlink ref="N148" r:id="rId147" xr:uid="{BCC60459-D8DE-4921-9FAB-516A98F64543}"/>
    <hyperlink ref="N149" r:id="rId148" xr:uid="{56EB7DA2-FF38-407B-AF29-45DB8EC8C472}"/>
    <hyperlink ref="N150" r:id="rId149" xr:uid="{766A870F-FCF3-40B5-9769-035F8FA97564}"/>
    <hyperlink ref="N151" r:id="rId150" xr:uid="{EBC3C9DD-56FF-4932-9E70-EB258840860A}"/>
    <hyperlink ref="N152" r:id="rId151" xr:uid="{59D658D9-10DA-46F9-B02E-F927B5B3E084}"/>
    <hyperlink ref="N153" r:id="rId152" xr:uid="{E6FC4E71-89B1-4A25-BA47-B91C9AB54047}"/>
    <hyperlink ref="N154" r:id="rId153" xr:uid="{00DAC210-9981-4DE6-BD8C-6555D8109A41}"/>
    <hyperlink ref="N155" r:id="rId154" xr:uid="{7A525AB6-9A36-483C-B394-E904EFE6F4EB}"/>
    <hyperlink ref="N156" r:id="rId155" xr:uid="{25090B91-9C45-481C-8AF0-4861757F222E}"/>
    <hyperlink ref="N157" r:id="rId156" xr:uid="{3414A58A-558C-49C6-A217-751D7663CC12}"/>
    <hyperlink ref="N158" r:id="rId157" xr:uid="{5972E621-3D7A-43EC-A176-81CEEA2BE898}"/>
    <hyperlink ref="N159" r:id="rId158" xr:uid="{6ECC9EE7-6BE3-4E04-94AD-089EA979AAD9}"/>
    <hyperlink ref="N160" r:id="rId159" xr:uid="{75BA30E6-41EC-4225-A36B-41087053830C}"/>
    <hyperlink ref="N161" r:id="rId160" xr:uid="{498806CE-AAFF-4B7F-9766-79DEC413F88F}"/>
    <hyperlink ref="N162" r:id="rId161" xr:uid="{8B6A8ABF-A968-4A7F-A465-A7B607589191}"/>
    <hyperlink ref="N163" r:id="rId162" xr:uid="{C93FCA2C-F5E0-4A82-A216-B0AF3A8F96B9}"/>
    <hyperlink ref="N164" r:id="rId163" xr:uid="{2A647A3D-B6FF-40F2-821C-028E16FE736E}"/>
    <hyperlink ref="N165" r:id="rId164" xr:uid="{485D5626-6ED7-4851-A822-B3D2F2028244}"/>
    <hyperlink ref="N166" r:id="rId165" xr:uid="{EACE9466-F8C4-4ED7-A24E-AFE47313EC2F}"/>
    <hyperlink ref="N167" r:id="rId166" xr:uid="{E70188DD-5CA3-4BEA-BBBA-B7784DDDD549}"/>
    <hyperlink ref="N168" r:id="rId167" xr:uid="{2A0A84ED-346E-466E-AFFF-6D31591D53CE}"/>
    <hyperlink ref="N169" r:id="rId168" xr:uid="{9E438876-7F57-4CA9-A537-9C6C0A03FD11}"/>
    <hyperlink ref="N170" r:id="rId169" xr:uid="{211F1F54-E3C6-4C2E-87B3-7C2D73876AF5}"/>
    <hyperlink ref="N171" r:id="rId170" xr:uid="{8A6283EB-6257-4168-9178-F1AB7840F642}"/>
    <hyperlink ref="N172" r:id="rId171" xr:uid="{E2BC7D72-370D-45E9-85DE-F927C6318F18}"/>
    <hyperlink ref="N173" r:id="rId172" xr:uid="{80A90BC2-2870-4A0B-8110-AD91439299A2}"/>
    <hyperlink ref="N174" r:id="rId173" xr:uid="{BFF60B90-D441-4FFE-9731-0BC0380C5267}"/>
    <hyperlink ref="N175" r:id="rId174" xr:uid="{9463E70D-E6F3-4C65-9E39-4EE2D81E0BEB}"/>
    <hyperlink ref="N176" r:id="rId175" xr:uid="{72EE63A9-3465-42CE-87B5-996FA888FF51}"/>
    <hyperlink ref="N177" r:id="rId176" xr:uid="{787E4670-A552-45F5-870B-717DE068C6DB}"/>
    <hyperlink ref="N178" r:id="rId177" xr:uid="{D01AD0B4-C6F5-47B1-A13F-F2B22C4EFFFF}"/>
    <hyperlink ref="N179" r:id="rId178" xr:uid="{8CBC38F0-DB63-44B9-BA43-6F200C2EB766}"/>
    <hyperlink ref="N180" r:id="rId179" xr:uid="{AC5A2152-2A02-4FE8-BFBD-A21FF8F2DB0D}"/>
    <hyperlink ref="N181" r:id="rId180" xr:uid="{F1698F71-8115-49C1-8649-69490AD7C072}"/>
    <hyperlink ref="N182" r:id="rId181" xr:uid="{2007F587-6949-42C3-AAC1-D56AFF8E19AB}"/>
    <hyperlink ref="N183" r:id="rId182" xr:uid="{2FE62F1D-8B75-4195-9188-61DA4D00CFF0}"/>
    <hyperlink ref="N184" r:id="rId183" xr:uid="{D4A86B91-DFF0-47F0-9BA6-99AF10B66EC0}"/>
    <hyperlink ref="N185" r:id="rId184" xr:uid="{9086BF70-95EA-45FC-8276-CD447A15711A}"/>
    <hyperlink ref="N186" r:id="rId185" xr:uid="{125605EB-C96B-4D98-9646-8335AB96E4F9}"/>
    <hyperlink ref="N187" r:id="rId186" xr:uid="{4D5DA343-7FE0-429B-B053-1D05FF6AE992}"/>
    <hyperlink ref="N188" r:id="rId187" xr:uid="{4A248C1F-FB07-41FB-B482-5053C611B4F4}"/>
    <hyperlink ref="N189" r:id="rId188" xr:uid="{A5791BF8-ACD1-4BB2-B19C-D1E348A624C0}"/>
    <hyperlink ref="N190" r:id="rId189" xr:uid="{E5710EB6-26BE-4C3A-865D-41D20496138C}"/>
    <hyperlink ref="N191" r:id="rId190" xr:uid="{B36343EF-965E-40AE-A36F-AEA7741AD785}"/>
    <hyperlink ref="N192" r:id="rId191" xr:uid="{EA85C78F-AC5E-4182-97D1-72BF49B2F40C}"/>
    <hyperlink ref="N193" r:id="rId192" xr:uid="{9B574C1F-243D-4CF1-9791-3D80F60A41C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2DFB4-6A46-40B6-99CB-8DF040F610D1}">
  <dimension ref="A1:N165"/>
  <sheetViews>
    <sheetView tabSelected="1" workbookViewId="0">
      <pane ySplit="1" topLeftCell="A150" activePane="bottomLeft" state="frozen"/>
      <selection pane="bottomLeft" activeCell="C163" sqref="C163"/>
    </sheetView>
  </sheetViews>
  <sheetFormatPr defaultRowHeight="16.2"/>
  <cols>
    <col min="4" max="4" width="14" customWidth="1"/>
    <col min="5" max="5" width="15.109375" customWidth="1"/>
    <col min="6" max="6" width="42.44140625" customWidth="1"/>
  </cols>
  <sheetData>
    <row r="1" spans="1:14" ht="27">
      <c r="A1" s="234" t="s">
        <v>10700</v>
      </c>
      <c r="B1" s="234" t="s">
        <v>9183</v>
      </c>
      <c r="C1" s="234" t="s">
        <v>9915</v>
      </c>
      <c r="D1" s="235" t="s">
        <v>9916</v>
      </c>
      <c r="E1" s="235" t="s">
        <v>9917</v>
      </c>
      <c r="F1" s="236" t="s">
        <v>9918</v>
      </c>
      <c r="G1" s="234" t="s">
        <v>9919</v>
      </c>
      <c r="H1" s="234" t="s">
        <v>9920</v>
      </c>
      <c r="I1" s="234" t="s">
        <v>9921</v>
      </c>
      <c r="J1" s="234" t="s">
        <v>9922</v>
      </c>
      <c r="K1" s="234" t="s">
        <v>9923</v>
      </c>
      <c r="L1" s="234" t="s">
        <v>9924</v>
      </c>
      <c r="M1" s="234" t="s">
        <v>10701</v>
      </c>
      <c r="N1" s="250" t="s">
        <v>534</v>
      </c>
    </row>
    <row r="2" spans="1:14" ht="39.6">
      <c r="A2" s="230">
        <v>1</v>
      </c>
      <c r="B2" s="251" t="s">
        <v>5071</v>
      </c>
      <c r="C2" s="251" t="s">
        <v>11617</v>
      </c>
      <c r="D2" s="252">
        <v>9781522569190</v>
      </c>
      <c r="E2" s="252">
        <v>9781522569183</v>
      </c>
      <c r="F2" s="253" t="s">
        <v>11618</v>
      </c>
      <c r="G2" s="254">
        <v>1</v>
      </c>
      <c r="H2" s="254">
        <v>1</v>
      </c>
      <c r="I2" s="251" t="s">
        <v>3446</v>
      </c>
      <c r="J2" s="251" t="s">
        <v>569</v>
      </c>
      <c r="K2" s="254">
        <v>2019</v>
      </c>
      <c r="L2" s="251" t="s">
        <v>11619</v>
      </c>
      <c r="M2" s="251"/>
      <c r="N2" s="255" t="s">
        <v>11620</v>
      </c>
    </row>
    <row r="3" spans="1:14" ht="26.4">
      <c r="A3" s="230">
        <v>2</v>
      </c>
      <c r="B3" s="251" t="s">
        <v>5071</v>
      </c>
      <c r="C3" s="251" t="s">
        <v>11621</v>
      </c>
      <c r="D3" s="252">
        <v>9781522558682</v>
      </c>
      <c r="E3" s="252">
        <v>9781522558675</v>
      </c>
      <c r="F3" s="253" t="s">
        <v>11622</v>
      </c>
      <c r="G3" s="254">
        <v>1</v>
      </c>
      <c r="H3" s="254">
        <v>1</v>
      </c>
      <c r="I3" s="251" t="s">
        <v>7927</v>
      </c>
      <c r="J3" s="251" t="s">
        <v>569</v>
      </c>
      <c r="K3" s="254">
        <v>2019</v>
      </c>
      <c r="L3" s="251" t="s">
        <v>11619</v>
      </c>
      <c r="M3" s="251"/>
      <c r="N3" s="256" t="s">
        <v>11623</v>
      </c>
    </row>
    <row r="4" spans="1:14" ht="26.4">
      <c r="A4" s="230">
        <v>3</v>
      </c>
      <c r="B4" s="251" t="s">
        <v>5071</v>
      </c>
      <c r="C4" s="251" t="s">
        <v>11621</v>
      </c>
      <c r="D4" s="252">
        <v>9781522555209</v>
      </c>
      <c r="E4" s="252">
        <v>9781522555193</v>
      </c>
      <c r="F4" s="253" t="s">
        <v>11624</v>
      </c>
      <c r="G4" s="254">
        <v>1</v>
      </c>
      <c r="H4" s="254">
        <v>1</v>
      </c>
      <c r="I4" s="251" t="s">
        <v>11625</v>
      </c>
      <c r="J4" s="251" t="s">
        <v>569</v>
      </c>
      <c r="K4" s="254">
        <v>2019</v>
      </c>
      <c r="L4" s="251" t="s">
        <v>11619</v>
      </c>
      <c r="M4" s="251"/>
      <c r="N4" s="255" t="s">
        <v>11626</v>
      </c>
    </row>
    <row r="5" spans="1:14" ht="26.4">
      <c r="A5" s="230">
        <v>4</v>
      </c>
      <c r="B5" s="251" t="s">
        <v>5071</v>
      </c>
      <c r="C5" s="251" t="s">
        <v>11621</v>
      </c>
      <c r="D5" s="252">
        <v>9781522563426</v>
      </c>
      <c r="E5" s="252">
        <v>9781522563419</v>
      </c>
      <c r="F5" s="253" t="s">
        <v>11627</v>
      </c>
      <c r="G5" s="254">
        <v>1</v>
      </c>
      <c r="H5" s="254">
        <v>1</v>
      </c>
      <c r="I5" s="251" t="s">
        <v>11628</v>
      </c>
      <c r="J5" s="251" t="s">
        <v>569</v>
      </c>
      <c r="K5" s="254">
        <v>2019</v>
      </c>
      <c r="L5" s="251" t="s">
        <v>11619</v>
      </c>
      <c r="M5" s="251"/>
      <c r="N5" s="255" t="s">
        <v>11629</v>
      </c>
    </row>
    <row r="6" spans="1:14" ht="26.4">
      <c r="A6" s="230">
        <v>5</v>
      </c>
      <c r="B6" s="251" t="s">
        <v>5071</v>
      </c>
      <c r="C6" s="251" t="s">
        <v>11621</v>
      </c>
      <c r="D6" s="252">
        <v>9781522559160</v>
      </c>
      <c r="E6" s="252">
        <v>9781522559153</v>
      </c>
      <c r="F6" s="253" t="s">
        <v>11630</v>
      </c>
      <c r="G6" s="254">
        <v>1</v>
      </c>
      <c r="H6" s="254">
        <v>1</v>
      </c>
      <c r="I6" s="251" t="s">
        <v>11631</v>
      </c>
      <c r="J6" s="251" t="s">
        <v>569</v>
      </c>
      <c r="K6" s="254">
        <v>2019</v>
      </c>
      <c r="L6" s="251" t="s">
        <v>11619</v>
      </c>
      <c r="M6" s="251"/>
      <c r="N6" s="255" t="s">
        <v>11632</v>
      </c>
    </row>
    <row r="7" spans="1:14" ht="26.4">
      <c r="A7" s="230">
        <v>6</v>
      </c>
      <c r="B7" s="251" t="s">
        <v>5071</v>
      </c>
      <c r="C7" s="251" t="s">
        <v>11633</v>
      </c>
      <c r="D7" s="252">
        <v>9781522559283</v>
      </c>
      <c r="E7" s="252">
        <v>9781522559276</v>
      </c>
      <c r="F7" s="253" t="s">
        <v>11634</v>
      </c>
      <c r="G7" s="254">
        <v>1</v>
      </c>
      <c r="H7" s="254">
        <v>1</v>
      </c>
      <c r="I7" s="251" t="s">
        <v>161</v>
      </c>
      <c r="J7" s="251" t="s">
        <v>568</v>
      </c>
      <c r="K7" s="254">
        <v>2019</v>
      </c>
      <c r="L7" s="251" t="s">
        <v>11619</v>
      </c>
      <c r="M7" s="251"/>
      <c r="N7" s="255" t="s">
        <v>11635</v>
      </c>
    </row>
    <row r="8" spans="1:14" ht="26.4">
      <c r="A8" s="230">
        <v>7</v>
      </c>
      <c r="B8" s="251" t="s">
        <v>5071</v>
      </c>
      <c r="C8" s="251" t="s">
        <v>11636</v>
      </c>
      <c r="D8" s="252">
        <v>9781522560241</v>
      </c>
      <c r="E8" s="252">
        <v>9781522560234</v>
      </c>
      <c r="F8" s="253" t="s">
        <v>11637</v>
      </c>
      <c r="G8" s="254">
        <v>1</v>
      </c>
      <c r="H8" s="254">
        <v>1</v>
      </c>
      <c r="I8" s="251" t="s">
        <v>11638</v>
      </c>
      <c r="J8" s="251" t="s">
        <v>569</v>
      </c>
      <c r="K8" s="254">
        <v>2019</v>
      </c>
      <c r="L8" s="251" t="s">
        <v>11619</v>
      </c>
      <c r="M8" s="251"/>
      <c r="N8" s="255" t="s">
        <v>11639</v>
      </c>
    </row>
    <row r="9" spans="1:14" ht="26.4">
      <c r="A9" s="230">
        <v>8</v>
      </c>
      <c r="B9" s="251" t="s">
        <v>5071</v>
      </c>
      <c r="C9" s="251" t="s">
        <v>11633</v>
      </c>
      <c r="D9" s="252">
        <v>9781522570967</v>
      </c>
      <c r="E9" s="252">
        <v>9781522570950</v>
      </c>
      <c r="F9" s="253" t="s">
        <v>11640</v>
      </c>
      <c r="G9" s="254">
        <v>1</v>
      </c>
      <c r="H9" s="254">
        <v>1</v>
      </c>
      <c r="I9" s="251" t="s">
        <v>11641</v>
      </c>
      <c r="J9" s="251" t="s">
        <v>568</v>
      </c>
      <c r="K9" s="254">
        <v>2019</v>
      </c>
      <c r="L9" s="251" t="s">
        <v>11619</v>
      </c>
      <c r="M9" s="251"/>
      <c r="N9" s="255" t="s">
        <v>11642</v>
      </c>
    </row>
    <row r="10" spans="1:14" ht="39.6">
      <c r="A10" s="230">
        <v>9</v>
      </c>
      <c r="B10" s="251" t="s">
        <v>5071</v>
      </c>
      <c r="C10" s="251" t="s">
        <v>11643</v>
      </c>
      <c r="D10" s="252">
        <v>9781522569558</v>
      </c>
      <c r="E10" s="252">
        <v>9781522569541</v>
      </c>
      <c r="F10" s="253" t="s">
        <v>11644</v>
      </c>
      <c r="G10" s="254">
        <v>1</v>
      </c>
      <c r="H10" s="254">
        <v>1</v>
      </c>
      <c r="I10" s="251" t="s">
        <v>11645</v>
      </c>
      <c r="J10" s="251" t="s">
        <v>568</v>
      </c>
      <c r="K10" s="254">
        <v>2019</v>
      </c>
      <c r="L10" s="251" t="s">
        <v>11619</v>
      </c>
      <c r="M10" s="251"/>
      <c r="N10" s="255" t="s">
        <v>11646</v>
      </c>
    </row>
    <row r="11" spans="1:14" ht="26.4">
      <c r="A11" s="230">
        <v>10</v>
      </c>
      <c r="B11" s="251" t="s">
        <v>5071</v>
      </c>
      <c r="C11" s="251" t="s">
        <v>11621</v>
      </c>
      <c r="D11" s="252">
        <v>9781799800644</v>
      </c>
      <c r="E11" s="252">
        <v>9781799800620</v>
      </c>
      <c r="F11" s="253" t="s">
        <v>11647</v>
      </c>
      <c r="G11" s="254">
        <v>1</v>
      </c>
      <c r="H11" s="254">
        <v>1</v>
      </c>
      <c r="I11" s="251" t="s">
        <v>11648</v>
      </c>
      <c r="J11" s="251" t="s">
        <v>569</v>
      </c>
      <c r="K11" s="254">
        <v>2020</v>
      </c>
      <c r="L11" s="251" t="s">
        <v>11619</v>
      </c>
      <c r="M11" s="251"/>
      <c r="N11" s="255" t="s">
        <v>11649</v>
      </c>
    </row>
    <row r="12" spans="1:14" ht="26.4">
      <c r="A12" s="230">
        <v>11</v>
      </c>
      <c r="B12" s="251" t="s">
        <v>5071</v>
      </c>
      <c r="C12" s="251" t="s">
        <v>11633</v>
      </c>
      <c r="D12" s="252">
        <v>9781522595526</v>
      </c>
      <c r="E12" s="252">
        <v>9781522595502</v>
      </c>
      <c r="F12" s="253" t="s">
        <v>11650</v>
      </c>
      <c r="G12" s="254">
        <v>1</v>
      </c>
      <c r="H12" s="254">
        <v>1</v>
      </c>
      <c r="I12" s="251" t="s">
        <v>11651</v>
      </c>
      <c r="J12" s="251" t="s">
        <v>568</v>
      </c>
      <c r="K12" s="254">
        <v>2020</v>
      </c>
      <c r="L12" s="251" t="s">
        <v>11619</v>
      </c>
      <c r="M12" s="251"/>
      <c r="N12" s="255" t="s">
        <v>11652</v>
      </c>
    </row>
    <row r="13" spans="1:14" ht="26.4">
      <c r="A13" s="230">
        <v>12</v>
      </c>
      <c r="B13" s="251" t="s">
        <v>5071</v>
      </c>
      <c r="C13" s="251" t="s">
        <v>11653</v>
      </c>
      <c r="D13" s="252">
        <v>9781799848301</v>
      </c>
      <c r="E13" s="252">
        <v>9781799848295</v>
      </c>
      <c r="F13" s="253" t="s">
        <v>11654</v>
      </c>
      <c r="G13" s="254">
        <v>1</v>
      </c>
      <c r="H13" s="254">
        <v>1</v>
      </c>
      <c r="I13" s="251" t="s">
        <v>11655</v>
      </c>
      <c r="J13" s="251" t="s">
        <v>569</v>
      </c>
      <c r="K13" s="254">
        <v>2021</v>
      </c>
      <c r="L13" s="251" t="s">
        <v>11619</v>
      </c>
      <c r="M13" s="251"/>
      <c r="N13" s="255" t="s">
        <v>11656</v>
      </c>
    </row>
    <row r="14" spans="1:14" ht="26.4">
      <c r="A14" s="230">
        <v>13</v>
      </c>
      <c r="B14" s="251" t="s">
        <v>5071</v>
      </c>
      <c r="C14" s="251" t="s">
        <v>11621</v>
      </c>
      <c r="D14" s="252">
        <v>9781799847649</v>
      </c>
      <c r="E14" s="252">
        <v>9781799847632</v>
      </c>
      <c r="F14" s="253" t="s">
        <v>11657</v>
      </c>
      <c r="G14" s="254">
        <v>1</v>
      </c>
      <c r="H14" s="254">
        <v>1</v>
      </c>
      <c r="I14" s="251" t="s">
        <v>11658</v>
      </c>
      <c r="J14" s="251" t="s">
        <v>569</v>
      </c>
      <c r="K14" s="254">
        <v>2021</v>
      </c>
      <c r="L14" s="251" t="s">
        <v>11619</v>
      </c>
      <c r="M14" s="251"/>
      <c r="N14" s="255" t="s">
        <v>11659</v>
      </c>
    </row>
    <row r="15" spans="1:14" ht="26.4">
      <c r="A15" s="230">
        <v>14</v>
      </c>
      <c r="B15" s="251" t="s">
        <v>5071</v>
      </c>
      <c r="C15" s="251" t="s">
        <v>11621</v>
      </c>
      <c r="D15" s="252">
        <v>9781799876328</v>
      </c>
      <c r="E15" s="252">
        <v>9781799876304</v>
      </c>
      <c r="F15" s="253" t="s">
        <v>11660</v>
      </c>
      <c r="G15" s="254">
        <v>1</v>
      </c>
      <c r="H15" s="254">
        <v>1</v>
      </c>
      <c r="I15" s="251" t="s">
        <v>8732</v>
      </c>
      <c r="J15" s="251" t="s">
        <v>569</v>
      </c>
      <c r="K15" s="254">
        <v>2021</v>
      </c>
      <c r="L15" s="251" t="s">
        <v>11619</v>
      </c>
      <c r="M15" s="251"/>
      <c r="N15" s="255" t="s">
        <v>11661</v>
      </c>
    </row>
    <row r="16" spans="1:14" ht="26.4">
      <c r="A16" s="230">
        <v>15</v>
      </c>
      <c r="B16" s="251" t="s">
        <v>5071</v>
      </c>
      <c r="C16" s="251" t="s">
        <v>11636</v>
      </c>
      <c r="D16" s="252">
        <v>9781799871828</v>
      </c>
      <c r="E16" s="252">
        <v>9781799871804</v>
      </c>
      <c r="F16" s="253" t="s">
        <v>11662</v>
      </c>
      <c r="G16" s="254">
        <v>1</v>
      </c>
      <c r="H16" s="254">
        <v>1</v>
      </c>
      <c r="I16" s="251" t="s">
        <v>11663</v>
      </c>
      <c r="J16" s="251" t="s">
        <v>569</v>
      </c>
      <c r="K16" s="254">
        <v>2021</v>
      </c>
      <c r="L16" s="251" t="s">
        <v>11619</v>
      </c>
      <c r="M16" s="251"/>
      <c r="N16" s="255" t="s">
        <v>11664</v>
      </c>
    </row>
    <row r="17" spans="1:14" ht="26.4">
      <c r="A17" s="230">
        <v>16</v>
      </c>
      <c r="B17" s="251" t="s">
        <v>5071</v>
      </c>
      <c r="C17" s="251" t="s">
        <v>11617</v>
      </c>
      <c r="D17" s="252">
        <v>9781799879657</v>
      </c>
      <c r="E17" s="252">
        <v>9781799879633</v>
      </c>
      <c r="F17" s="253" t="s">
        <v>11665</v>
      </c>
      <c r="G17" s="254">
        <v>1</v>
      </c>
      <c r="H17" s="254">
        <v>1</v>
      </c>
      <c r="I17" s="251" t="s">
        <v>5849</v>
      </c>
      <c r="J17" s="251" t="s">
        <v>569</v>
      </c>
      <c r="K17" s="254">
        <v>2022</v>
      </c>
      <c r="L17" s="251" t="s">
        <v>11619</v>
      </c>
      <c r="M17" s="251"/>
      <c r="N17" s="255" t="s">
        <v>11666</v>
      </c>
    </row>
    <row r="18" spans="1:14" ht="26.4">
      <c r="A18" s="230">
        <v>17</v>
      </c>
      <c r="B18" s="251" t="s">
        <v>5071</v>
      </c>
      <c r="C18" s="251" t="s">
        <v>11621</v>
      </c>
      <c r="D18" s="252">
        <v>9781799897088</v>
      </c>
      <c r="E18" s="252">
        <v>9781799897064</v>
      </c>
      <c r="F18" s="253" t="s">
        <v>11667</v>
      </c>
      <c r="G18" s="254">
        <v>1</v>
      </c>
      <c r="H18" s="254">
        <v>1</v>
      </c>
      <c r="I18" s="251" t="s">
        <v>11668</v>
      </c>
      <c r="J18" s="251" t="s">
        <v>569</v>
      </c>
      <c r="K18" s="254">
        <v>2022</v>
      </c>
      <c r="L18" s="251" t="s">
        <v>11619</v>
      </c>
      <c r="M18" s="251"/>
      <c r="N18" s="255" t="s">
        <v>11669</v>
      </c>
    </row>
    <row r="19" spans="1:14" ht="26.4">
      <c r="A19" s="230">
        <v>18</v>
      </c>
      <c r="B19" s="251" t="s">
        <v>5071</v>
      </c>
      <c r="C19" s="251" t="s">
        <v>11617</v>
      </c>
      <c r="D19" s="252">
        <v>9781799886433</v>
      </c>
      <c r="E19" s="252">
        <v>9781799886419</v>
      </c>
      <c r="F19" s="253" t="s">
        <v>11670</v>
      </c>
      <c r="G19" s="254">
        <v>1</v>
      </c>
      <c r="H19" s="254">
        <v>1</v>
      </c>
      <c r="I19" s="251" t="s">
        <v>8743</v>
      </c>
      <c r="J19" s="251" t="s">
        <v>569</v>
      </c>
      <c r="K19" s="254">
        <v>2022</v>
      </c>
      <c r="L19" s="251" t="s">
        <v>11619</v>
      </c>
      <c r="M19" s="251"/>
      <c r="N19" s="255" t="s">
        <v>11671</v>
      </c>
    </row>
    <row r="20" spans="1:14" ht="39.6">
      <c r="A20" s="230">
        <v>19</v>
      </c>
      <c r="B20" s="251" t="s">
        <v>5071</v>
      </c>
      <c r="C20" s="251" t="s">
        <v>11633</v>
      </c>
      <c r="D20" s="252">
        <v>9781668474969</v>
      </c>
      <c r="E20" s="252">
        <v>9781668474945</v>
      </c>
      <c r="F20" s="253" t="s">
        <v>11672</v>
      </c>
      <c r="G20" s="254">
        <v>1</v>
      </c>
      <c r="H20" s="254">
        <v>1</v>
      </c>
      <c r="I20" s="251" t="s">
        <v>11673</v>
      </c>
      <c r="J20" s="251" t="s">
        <v>568</v>
      </c>
      <c r="K20" s="254">
        <v>2023</v>
      </c>
      <c r="L20" s="251" t="s">
        <v>11619</v>
      </c>
      <c r="M20" s="251"/>
      <c r="N20" s="255" t="s">
        <v>11674</v>
      </c>
    </row>
    <row r="21" spans="1:14">
      <c r="A21" s="230">
        <v>20</v>
      </c>
      <c r="B21" s="251" t="s">
        <v>5071</v>
      </c>
      <c r="C21" s="251" t="s">
        <v>11617</v>
      </c>
      <c r="D21" s="252">
        <v>9781799858188</v>
      </c>
      <c r="E21" s="252">
        <v>9781799858171</v>
      </c>
      <c r="F21" s="253" t="s">
        <v>11675</v>
      </c>
      <c r="G21" s="254">
        <v>1</v>
      </c>
      <c r="H21" s="254">
        <v>1</v>
      </c>
      <c r="I21" s="251" t="s">
        <v>11676</v>
      </c>
      <c r="J21" s="251" t="s">
        <v>569</v>
      </c>
      <c r="K21" s="254">
        <v>2023</v>
      </c>
      <c r="L21" s="251" t="s">
        <v>11619</v>
      </c>
      <c r="M21" s="251"/>
      <c r="N21" s="255" t="s">
        <v>11677</v>
      </c>
    </row>
    <row r="22" spans="1:14">
      <c r="A22" s="230">
        <v>21</v>
      </c>
      <c r="B22" s="251" t="s">
        <v>5071</v>
      </c>
      <c r="C22" s="251" t="s">
        <v>11617</v>
      </c>
      <c r="D22" s="252">
        <v>9781668497135</v>
      </c>
      <c r="E22" s="252">
        <v>9781668497111</v>
      </c>
      <c r="F22" s="253" t="s">
        <v>11678</v>
      </c>
      <c r="G22" s="254">
        <v>1</v>
      </c>
      <c r="H22" s="254">
        <v>1</v>
      </c>
      <c r="I22" s="251" t="s">
        <v>7132</v>
      </c>
      <c r="J22" s="251" t="s">
        <v>569</v>
      </c>
      <c r="K22" s="254">
        <v>2023</v>
      </c>
      <c r="L22" s="251" t="s">
        <v>11619</v>
      </c>
      <c r="M22" s="251"/>
      <c r="N22" s="255" t="s">
        <v>11679</v>
      </c>
    </row>
    <row r="23" spans="1:14" ht="26.4">
      <c r="A23" s="230">
        <v>22</v>
      </c>
      <c r="B23" s="251" t="s">
        <v>5071</v>
      </c>
      <c r="C23" s="251" t="s">
        <v>11636</v>
      </c>
      <c r="D23" s="252">
        <v>9781668478653</v>
      </c>
      <c r="E23" s="252">
        <v>9781668478646</v>
      </c>
      <c r="F23" s="253" t="s">
        <v>11680</v>
      </c>
      <c r="G23" s="254">
        <v>1</v>
      </c>
      <c r="H23" s="254">
        <v>1</v>
      </c>
      <c r="I23" s="251" t="s">
        <v>11681</v>
      </c>
      <c r="J23" s="251" t="s">
        <v>569</v>
      </c>
      <c r="K23" s="254">
        <v>2023</v>
      </c>
      <c r="L23" s="251" t="s">
        <v>11619</v>
      </c>
      <c r="M23" s="251"/>
      <c r="N23" s="255" t="s">
        <v>11682</v>
      </c>
    </row>
    <row r="24" spans="1:14">
      <c r="A24" s="230">
        <v>23</v>
      </c>
      <c r="B24" s="251" t="s">
        <v>5071</v>
      </c>
      <c r="C24" s="251" t="s">
        <v>11621</v>
      </c>
      <c r="D24" s="252">
        <v>9781668482988</v>
      </c>
      <c r="E24" s="252">
        <v>9781668482964</v>
      </c>
      <c r="F24" s="253" t="s">
        <v>11683</v>
      </c>
      <c r="G24" s="254">
        <v>1</v>
      </c>
      <c r="H24" s="254">
        <v>1</v>
      </c>
      <c r="I24" s="251" t="s">
        <v>11684</v>
      </c>
      <c r="J24" s="251" t="s">
        <v>569</v>
      </c>
      <c r="K24" s="254">
        <v>2023</v>
      </c>
      <c r="L24" s="251" t="s">
        <v>11619</v>
      </c>
      <c r="M24" s="251"/>
      <c r="N24" s="255" t="s">
        <v>11685</v>
      </c>
    </row>
    <row r="25" spans="1:14" ht="39.6">
      <c r="A25" s="230">
        <v>24</v>
      </c>
      <c r="B25" s="251" t="s">
        <v>5071</v>
      </c>
      <c r="C25" s="251" t="s">
        <v>11686</v>
      </c>
      <c r="D25" s="252">
        <v>9781668488065</v>
      </c>
      <c r="E25" s="252">
        <v>9781668488058</v>
      </c>
      <c r="F25" s="253" t="s">
        <v>11687</v>
      </c>
      <c r="G25" s="254">
        <v>1</v>
      </c>
      <c r="H25" s="254">
        <v>1</v>
      </c>
      <c r="I25" s="251" t="s">
        <v>11688</v>
      </c>
      <c r="J25" s="251" t="s">
        <v>569</v>
      </c>
      <c r="K25" s="254">
        <v>2023</v>
      </c>
      <c r="L25" s="251" t="s">
        <v>11619</v>
      </c>
      <c r="M25" s="251"/>
      <c r="N25" s="255" t="s">
        <v>11689</v>
      </c>
    </row>
    <row r="26" spans="1:14" ht="39.6">
      <c r="A26" s="230">
        <v>25</v>
      </c>
      <c r="B26" s="251" t="s">
        <v>5071</v>
      </c>
      <c r="C26" s="251" t="s">
        <v>11690</v>
      </c>
      <c r="D26" s="252">
        <v>9781668461570</v>
      </c>
      <c r="E26" s="252">
        <v>9781668461556</v>
      </c>
      <c r="F26" s="253" t="s">
        <v>11691</v>
      </c>
      <c r="G26" s="254">
        <v>1</v>
      </c>
      <c r="H26" s="254">
        <v>1</v>
      </c>
      <c r="I26" s="251" t="s">
        <v>11692</v>
      </c>
      <c r="J26" s="251" t="s">
        <v>569</v>
      </c>
      <c r="K26" s="254">
        <v>2023</v>
      </c>
      <c r="L26" s="251" t="s">
        <v>11619</v>
      </c>
      <c r="M26" s="251"/>
      <c r="N26" s="255" t="s">
        <v>11693</v>
      </c>
    </row>
    <row r="27" spans="1:14" ht="26.4">
      <c r="A27" s="230">
        <v>26</v>
      </c>
      <c r="B27" s="251" t="s">
        <v>5071</v>
      </c>
      <c r="C27" s="251" t="s">
        <v>11636</v>
      </c>
      <c r="D27" s="252">
        <v>9781668477038</v>
      </c>
      <c r="E27" s="252">
        <v>9781668477021</v>
      </c>
      <c r="F27" s="253" t="s">
        <v>11694</v>
      </c>
      <c r="G27" s="254">
        <v>1</v>
      </c>
      <c r="H27" s="254">
        <v>1</v>
      </c>
      <c r="I27" s="251" t="s">
        <v>11695</v>
      </c>
      <c r="J27" s="251" t="s">
        <v>569</v>
      </c>
      <c r="K27" s="254">
        <v>2023</v>
      </c>
      <c r="L27" s="251" t="s">
        <v>11619</v>
      </c>
      <c r="M27" s="251"/>
      <c r="N27" s="255" t="s">
        <v>11696</v>
      </c>
    </row>
    <row r="28" spans="1:14" ht="26.4">
      <c r="A28" s="230">
        <v>27</v>
      </c>
      <c r="B28" s="251" t="s">
        <v>5071</v>
      </c>
      <c r="C28" s="251" t="s">
        <v>11621</v>
      </c>
      <c r="D28" s="252">
        <v>9781668493014</v>
      </c>
      <c r="E28" s="252">
        <v>9781668493007</v>
      </c>
      <c r="F28" s="253" t="s">
        <v>11697</v>
      </c>
      <c r="G28" s="254">
        <v>1</v>
      </c>
      <c r="H28" s="254">
        <v>1</v>
      </c>
      <c r="I28" s="251" t="s">
        <v>11698</v>
      </c>
      <c r="J28" s="251" t="s">
        <v>569</v>
      </c>
      <c r="K28" s="254">
        <v>2023</v>
      </c>
      <c r="L28" s="251" t="s">
        <v>11619</v>
      </c>
      <c r="M28" s="251"/>
      <c r="N28" s="255" t="s">
        <v>11699</v>
      </c>
    </row>
    <row r="29" spans="1:14" ht="26.4">
      <c r="A29" s="230">
        <v>28</v>
      </c>
      <c r="B29" s="251" t="s">
        <v>5071</v>
      </c>
      <c r="C29" s="251" t="s">
        <v>11633</v>
      </c>
      <c r="D29" s="252">
        <v>9781668492796</v>
      </c>
      <c r="E29" s="252">
        <v>9781668492772</v>
      </c>
      <c r="F29" s="253" t="s">
        <v>11700</v>
      </c>
      <c r="G29" s="254">
        <v>1</v>
      </c>
      <c r="H29" s="254">
        <v>1</v>
      </c>
      <c r="I29" s="251" t="s">
        <v>11701</v>
      </c>
      <c r="J29" s="251" t="s">
        <v>568</v>
      </c>
      <c r="K29" s="254">
        <v>2024</v>
      </c>
      <c r="L29" s="251" t="s">
        <v>11619</v>
      </c>
      <c r="M29" s="251"/>
      <c r="N29" s="255" t="s">
        <v>11702</v>
      </c>
    </row>
    <row r="30" spans="1:14" ht="26.4">
      <c r="A30" s="230">
        <v>29</v>
      </c>
      <c r="B30" s="251" t="s">
        <v>5071</v>
      </c>
      <c r="C30" s="251" t="s">
        <v>11621</v>
      </c>
      <c r="D30" s="252">
        <v>9781668472712</v>
      </c>
      <c r="E30" s="252">
        <v>9781668472705</v>
      </c>
      <c r="F30" s="253" t="s">
        <v>11703</v>
      </c>
      <c r="G30" s="254">
        <v>1</v>
      </c>
      <c r="H30" s="254">
        <v>1</v>
      </c>
      <c r="I30" s="251" t="s">
        <v>11704</v>
      </c>
      <c r="J30" s="251" t="s">
        <v>569</v>
      </c>
      <c r="K30" s="254">
        <v>2024</v>
      </c>
      <c r="L30" s="251" t="s">
        <v>11619</v>
      </c>
      <c r="M30" s="251"/>
      <c r="N30" s="255" t="s">
        <v>11705</v>
      </c>
    </row>
    <row r="31" spans="1:14">
      <c r="A31" s="230">
        <v>30</v>
      </c>
      <c r="B31" s="251" t="s">
        <v>5071</v>
      </c>
      <c r="C31" s="251" t="s">
        <v>11706</v>
      </c>
      <c r="D31" s="252">
        <v>9798369313893</v>
      </c>
      <c r="E31" s="252">
        <v>9798369313886</v>
      </c>
      <c r="F31" s="253" t="s">
        <v>11707</v>
      </c>
      <c r="G31" s="254">
        <v>1</v>
      </c>
      <c r="H31" s="254">
        <v>1</v>
      </c>
      <c r="I31" s="251" t="s">
        <v>11708</v>
      </c>
      <c r="J31" s="251" t="s">
        <v>568</v>
      </c>
      <c r="K31" s="254">
        <v>2024</v>
      </c>
      <c r="L31" s="251" t="s">
        <v>11619</v>
      </c>
      <c r="M31" s="251"/>
      <c r="N31" s="255" t="s">
        <v>11709</v>
      </c>
    </row>
    <row r="32" spans="1:14" ht="26.4">
      <c r="A32" s="230">
        <v>31</v>
      </c>
      <c r="B32" s="251" t="s">
        <v>5071</v>
      </c>
      <c r="C32" s="251" t="s">
        <v>11633</v>
      </c>
      <c r="D32" s="252">
        <v>9798369305348</v>
      </c>
      <c r="E32" s="252">
        <v>9798369305324</v>
      </c>
      <c r="F32" s="253" t="s">
        <v>11710</v>
      </c>
      <c r="G32" s="254">
        <v>1</v>
      </c>
      <c r="H32" s="254">
        <v>1</v>
      </c>
      <c r="I32" s="251" t="s">
        <v>11711</v>
      </c>
      <c r="J32" s="251" t="s">
        <v>568</v>
      </c>
      <c r="K32" s="254">
        <v>2024</v>
      </c>
      <c r="L32" s="251" t="s">
        <v>11619</v>
      </c>
      <c r="M32" s="251"/>
      <c r="N32" s="255" t="s">
        <v>11712</v>
      </c>
    </row>
    <row r="33" spans="1:14" ht="26.4">
      <c r="A33" s="230">
        <v>32</v>
      </c>
      <c r="B33" s="251" t="s">
        <v>5071</v>
      </c>
      <c r="C33" s="251" t="s">
        <v>11633</v>
      </c>
      <c r="D33" s="252">
        <v>9798369311523</v>
      </c>
      <c r="E33" s="252">
        <v>9798369311516</v>
      </c>
      <c r="F33" s="253" t="s">
        <v>11713</v>
      </c>
      <c r="G33" s="254">
        <v>1</v>
      </c>
      <c r="H33" s="254">
        <v>1</v>
      </c>
      <c r="I33" s="251" t="s">
        <v>10270</v>
      </c>
      <c r="J33" s="251" t="s">
        <v>568</v>
      </c>
      <c r="K33" s="254">
        <v>2024</v>
      </c>
      <c r="L33" s="251" t="s">
        <v>11619</v>
      </c>
      <c r="M33" s="251"/>
      <c r="N33" s="255" t="s">
        <v>11714</v>
      </c>
    </row>
    <row r="34" spans="1:14" ht="26.4">
      <c r="A34" s="230">
        <v>33</v>
      </c>
      <c r="B34" s="251" t="s">
        <v>5071</v>
      </c>
      <c r="C34" s="251" t="s">
        <v>11633</v>
      </c>
      <c r="D34" s="252">
        <v>9798369308165</v>
      </c>
      <c r="E34" s="252">
        <v>9798369308158</v>
      </c>
      <c r="F34" s="253" t="s">
        <v>11715</v>
      </c>
      <c r="G34" s="254">
        <v>1</v>
      </c>
      <c r="H34" s="254">
        <v>1</v>
      </c>
      <c r="I34" s="251" t="s">
        <v>10145</v>
      </c>
      <c r="J34" s="251" t="s">
        <v>568</v>
      </c>
      <c r="K34" s="254">
        <v>2024</v>
      </c>
      <c r="L34" s="251" t="s">
        <v>11619</v>
      </c>
      <c r="M34" s="251"/>
      <c r="N34" s="255" t="s">
        <v>11716</v>
      </c>
    </row>
    <row r="35" spans="1:14" ht="26.4">
      <c r="A35" s="230">
        <v>34</v>
      </c>
      <c r="B35" s="251" t="s">
        <v>5071</v>
      </c>
      <c r="C35" s="251" t="s">
        <v>11633</v>
      </c>
      <c r="D35" s="252">
        <v>9798369305294</v>
      </c>
      <c r="E35" s="252">
        <v>9798369305270</v>
      </c>
      <c r="F35" s="253" t="s">
        <v>11717</v>
      </c>
      <c r="G35" s="254">
        <v>1</v>
      </c>
      <c r="H35" s="254">
        <v>1</v>
      </c>
      <c r="I35" s="251" t="s">
        <v>7132</v>
      </c>
      <c r="J35" s="251" t="s">
        <v>568</v>
      </c>
      <c r="K35" s="254">
        <v>2024</v>
      </c>
      <c r="L35" s="251" t="s">
        <v>11619</v>
      </c>
      <c r="M35" s="251"/>
      <c r="N35" s="255" t="s">
        <v>11718</v>
      </c>
    </row>
    <row r="36" spans="1:14" ht="39.6">
      <c r="A36" s="230">
        <v>35</v>
      </c>
      <c r="B36" s="251" t="s">
        <v>5071</v>
      </c>
      <c r="C36" s="251" t="s">
        <v>11633</v>
      </c>
      <c r="D36" s="252">
        <v>9798369326480</v>
      </c>
      <c r="E36" s="252">
        <v>9798369326473</v>
      </c>
      <c r="F36" s="253" t="s">
        <v>11719</v>
      </c>
      <c r="G36" s="254">
        <v>1</v>
      </c>
      <c r="H36" s="254">
        <v>1</v>
      </c>
      <c r="I36" s="251" t="s">
        <v>11720</v>
      </c>
      <c r="J36" s="251" t="s">
        <v>568</v>
      </c>
      <c r="K36" s="254">
        <v>2024</v>
      </c>
      <c r="L36" s="251" t="s">
        <v>11619</v>
      </c>
      <c r="M36" s="251"/>
      <c r="N36" s="255" t="s">
        <v>11721</v>
      </c>
    </row>
    <row r="37" spans="1:14" ht="26.4">
      <c r="A37" s="230">
        <v>36</v>
      </c>
      <c r="B37" s="251" t="s">
        <v>5071</v>
      </c>
      <c r="C37" s="251" t="s">
        <v>11621</v>
      </c>
      <c r="D37" s="252">
        <v>9781668492864</v>
      </c>
      <c r="E37" s="252">
        <v>9781668492857</v>
      </c>
      <c r="F37" s="253" t="s">
        <v>11722</v>
      </c>
      <c r="G37" s="254">
        <v>1</v>
      </c>
      <c r="H37" s="254">
        <v>1</v>
      </c>
      <c r="I37" s="251" t="s">
        <v>11723</v>
      </c>
      <c r="J37" s="251" t="s">
        <v>569</v>
      </c>
      <c r="K37" s="254">
        <v>2024</v>
      </c>
      <c r="L37" s="251" t="s">
        <v>11619</v>
      </c>
      <c r="M37" s="251"/>
      <c r="N37" s="255" t="s">
        <v>11724</v>
      </c>
    </row>
    <row r="38" spans="1:14" ht="26.4">
      <c r="A38" s="230">
        <v>37</v>
      </c>
      <c r="B38" s="251" t="s">
        <v>5071</v>
      </c>
      <c r="C38" s="251" t="s">
        <v>11633</v>
      </c>
      <c r="D38" s="252">
        <v>9798369320785</v>
      </c>
      <c r="E38" s="252">
        <v>9798369320778</v>
      </c>
      <c r="F38" s="253" t="s">
        <v>11725</v>
      </c>
      <c r="G38" s="254">
        <v>1</v>
      </c>
      <c r="H38" s="254">
        <v>1</v>
      </c>
      <c r="I38" s="251" t="s">
        <v>7132</v>
      </c>
      <c r="J38" s="251" t="s">
        <v>568</v>
      </c>
      <c r="K38" s="254">
        <v>2024</v>
      </c>
      <c r="L38" s="251" t="s">
        <v>11619</v>
      </c>
      <c r="M38" s="251"/>
      <c r="N38" s="255" t="s">
        <v>11726</v>
      </c>
    </row>
    <row r="39" spans="1:14" ht="26.4">
      <c r="A39" s="230">
        <v>38</v>
      </c>
      <c r="B39" s="251" t="s">
        <v>5071</v>
      </c>
      <c r="C39" s="251" t="s">
        <v>11617</v>
      </c>
      <c r="D39" s="252">
        <v>9781668497180</v>
      </c>
      <c r="E39" s="252">
        <v>9781668497166</v>
      </c>
      <c r="F39" s="253" t="s">
        <v>11727</v>
      </c>
      <c r="G39" s="254">
        <v>1</v>
      </c>
      <c r="H39" s="254">
        <v>1</v>
      </c>
      <c r="I39" s="251" t="s">
        <v>11728</v>
      </c>
      <c r="J39" s="251" t="s">
        <v>1233</v>
      </c>
      <c r="K39" s="254">
        <v>2024</v>
      </c>
      <c r="L39" s="251" t="s">
        <v>11619</v>
      </c>
      <c r="M39" s="251"/>
      <c r="N39" s="255" t="s">
        <v>11729</v>
      </c>
    </row>
    <row r="40" spans="1:14">
      <c r="A40" s="230">
        <v>39</v>
      </c>
      <c r="B40" s="251" t="s">
        <v>5071</v>
      </c>
      <c r="C40" s="251" t="s">
        <v>11621</v>
      </c>
      <c r="D40" s="252">
        <v>9798369300756</v>
      </c>
      <c r="E40" s="252">
        <v>9798369300749</v>
      </c>
      <c r="F40" s="253" t="s">
        <v>11730</v>
      </c>
      <c r="G40" s="254">
        <v>1</v>
      </c>
      <c r="H40" s="254">
        <v>1</v>
      </c>
      <c r="I40" s="251" t="s">
        <v>1069</v>
      </c>
      <c r="J40" s="251" t="s">
        <v>569</v>
      </c>
      <c r="K40" s="254">
        <v>2024</v>
      </c>
      <c r="L40" s="251" t="s">
        <v>11619</v>
      </c>
      <c r="M40" s="251"/>
      <c r="N40" s="255" t="s">
        <v>11731</v>
      </c>
    </row>
    <row r="41" spans="1:14" ht="26.4">
      <c r="A41" s="230">
        <v>40</v>
      </c>
      <c r="B41" s="251" t="s">
        <v>5071</v>
      </c>
      <c r="C41" s="251" t="s">
        <v>11633</v>
      </c>
      <c r="D41" s="252">
        <v>9798369300411</v>
      </c>
      <c r="E41" s="252">
        <v>9798369300398</v>
      </c>
      <c r="F41" s="253" t="s">
        <v>11732</v>
      </c>
      <c r="G41" s="254">
        <v>1</v>
      </c>
      <c r="H41" s="254">
        <v>1</v>
      </c>
      <c r="I41" s="251" t="s">
        <v>11733</v>
      </c>
      <c r="J41" s="251" t="s">
        <v>568</v>
      </c>
      <c r="K41" s="254">
        <v>2024</v>
      </c>
      <c r="L41" s="251" t="s">
        <v>11619</v>
      </c>
      <c r="M41" s="251"/>
      <c r="N41" s="255" t="s">
        <v>11734</v>
      </c>
    </row>
    <row r="42" spans="1:14" ht="26.4">
      <c r="A42" s="230">
        <v>41</v>
      </c>
      <c r="B42" s="251" t="s">
        <v>5071</v>
      </c>
      <c r="C42" s="251" t="s">
        <v>11633</v>
      </c>
      <c r="D42" s="252">
        <v>9798369301135</v>
      </c>
      <c r="E42" s="252">
        <v>9798369301111</v>
      </c>
      <c r="F42" s="253" t="s">
        <v>11735</v>
      </c>
      <c r="G42" s="254">
        <v>1</v>
      </c>
      <c r="H42" s="254">
        <v>1</v>
      </c>
      <c r="I42" s="251" t="s">
        <v>10954</v>
      </c>
      <c r="J42" s="251" t="s">
        <v>568</v>
      </c>
      <c r="K42" s="254">
        <v>2024</v>
      </c>
      <c r="L42" s="251" t="s">
        <v>11619</v>
      </c>
      <c r="M42" s="251"/>
      <c r="N42" s="255" t="s">
        <v>11736</v>
      </c>
    </row>
    <row r="43" spans="1:14" ht="26.4">
      <c r="A43" s="230">
        <v>42</v>
      </c>
      <c r="B43" s="251" t="s">
        <v>5071</v>
      </c>
      <c r="C43" s="251" t="s">
        <v>11633</v>
      </c>
      <c r="D43" s="252">
        <v>9781668469774</v>
      </c>
      <c r="E43" s="252">
        <v>9781668469750</v>
      </c>
      <c r="F43" s="253" t="s">
        <v>11737</v>
      </c>
      <c r="G43" s="254">
        <v>1</v>
      </c>
      <c r="H43" s="254">
        <v>1</v>
      </c>
      <c r="I43" s="251" t="s">
        <v>11738</v>
      </c>
      <c r="J43" s="251" t="s">
        <v>568</v>
      </c>
      <c r="K43" s="254">
        <v>2024</v>
      </c>
      <c r="L43" s="251" t="s">
        <v>11619</v>
      </c>
      <c r="M43" s="251"/>
      <c r="N43" s="255" t="s">
        <v>11739</v>
      </c>
    </row>
    <row r="44" spans="1:14" ht="26.4">
      <c r="A44" s="230">
        <v>43</v>
      </c>
      <c r="B44" s="251" t="s">
        <v>5071</v>
      </c>
      <c r="C44" s="251" t="s">
        <v>11621</v>
      </c>
      <c r="D44" s="252">
        <v>9798369300688</v>
      </c>
      <c r="E44" s="252">
        <v>9798369300664</v>
      </c>
      <c r="F44" s="253" t="s">
        <v>11740</v>
      </c>
      <c r="G44" s="254">
        <v>1</v>
      </c>
      <c r="H44" s="254">
        <v>1</v>
      </c>
      <c r="I44" s="251" t="s">
        <v>11741</v>
      </c>
      <c r="J44" s="251" t="s">
        <v>569</v>
      </c>
      <c r="K44" s="254">
        <v>2024</v>
      </c>
      <c r="L44" s="251" t="s">
        <v>11619</v>
      </c>
      <c r="M44" s="251"/>
      <c r="N44" s="255" t="s">
        <v>11742</v>
      </c>
    </row>
    <row r="45" spans="1:14" ht="26.4">
      <c r="A45" s="230">
        <v>44</v>
      </c>
      <c r="B45" s="251" t="s">
        <v>5071</v>
      </c>
      <c r="C45" s="251" t="s">
        <v>11621</v>
      </c>
      <c r="D45" s="252">
        <v>9781668494738</v>
      </c>
      <c r="E45" s="252">
        <v>9781668494721</v>
      </c>
      <c r="F45" s="253" t="s">
        <v>11743</v>
      </c>
      <c r="G45" s="254">
        <v>1</v>
      </c>
      <c r="H45" s="254">
        <v>1</v>
      </c>
      <c r="I45" s="251" t="s">
        <v>11744</v>
      </c>
      <c r="J45" s="251" t="s">
        <v>569</v>
      </c>
      <c r="K45" s="254">
        <v>2024</v>
      </c>
      <c r="L45" s="251" t="s">
        <v>11619</v>
      </c>
      <c r="M45" s="251"/>
      <c r="N45" s="255" t="s">
        <v>11745</v>
      </c>
    </row>
    <row r="46" spans="1:14" ht="26.4">
      <c r="A46" s="230">
        <v>45</v>
      </c>
      <c r="B46" s="251" t="s">
        <v>5071</v>
      </c>
      <c r="C46" s="251" t="s">
        <v>11633</v>
      </c>
      <c r="D46" s="252">
        <v>9798369303658</v>
      </c>
      <c r="E46" s="252">
        <v>9798369303634</v>
      </c>
      <c r="F46" s="253" t="s">
        <v>11746</v>
      </c>
      <c r="G46" s="254">
        <v>1</v>
      </c>
      <c r="H46" s="254">
        <v>1</v>
      </c>
      <c r="I46" s="251" t="s">
        <v>11747</v>
      </c>
      <c r="J46" s="251" t="s">
        <v>568</v>
      </c>
      <c r="K46" s="254">
        <v>2024</v>
      </c>
      <c r="L46" s="251" t="s">
        <v>11619</v>
      </c>
      <c r="M46" s="251"/>
      <c r="N46" s="255" t="s">
        <v>11748</v>
      </c>
    </row>
    <row r="47" spans="1:14" ht="26.4">
      <c r="A47" s="230">
        <v>46</v>
      </c>
      <c r="B47" s="251" t="s">
        <v>5071</v>
      </c>
      <c r="C47" s="251" t="s">
        <v>11749</v>
      </c>
      <c r="D47" s="252">
        <v>9798369305539</v>
      </c>
      <c r="E47" s="252">
        <v>9798369305515</v>
      </c>
      <c r="F47" s="253" t="s">
        <v>11750</v>
      </c>
      <c r="G47" s="254">
        <v>1</v>
      </c>
      <c r="H47" s="254">
        <v>1</v>
      </c>
      <c r="I47" s="251" t="s">
        <v>11751</v>
      </c>
      <c r="J47" s="251" t="s">
        <v>568</v>
      </c>
      <c r="K47" s="254">
        <v>2024</v>
      </c>
      <c r="L47" s="251" t="s">
        <v>11619</v>
      </c>
      <c r="M47" s="251"/>
      <c r="N47" s="255" t="s">
        <v>11752</v>
      </c>
    </row>
    <row r="48" spans="1:14">
      <c r="A48" s="230">
        <v>47</v>
      </c>
      <c r="B48" s="251" t="s">
        <v>5071</v>
      </c>
      <c r="C48" s="251" t="s">
        <v>11753</v>
      </c>
      <c r="D48" s="252">
        <v>9798369308035</v>
      </c>
      <c r="E48" s="252">
        <v>9798369308028</v>
      </c>
      <c r="F48" s="253" t="s">
        <v>11754</v>
      </c>
      <c r="G48" s="254">
        <v>1</v>
      </c>
      <c r="H48" s="254">
        <v>1</v>
      </c>
      <c r="I48" s="251" t="s">
        <v>11755</v>
      </c>
      <c r="J48" s="251" t="s">
        <v>569</v>
      </c>
      <c r="K48" s="254">
        <v>2024</v>
      </c>
      <c r="L48" s="251" t="s">
        <v>11619</v>
      </c>
      <c r="M48" s="251"/>
      <c r="N48" s="255" t="s">
        <v>11756</v>
      </c>
    </row>
    <row r="49" spans="1:14" ht="39.6">
      <c r="A49" s="230">
        <v>48</v>
      </c>
      <c r="B49" s="251" t="s">
        <v>5071</v>
      </c>
      <c r="C49" s="251" t="s">
        <v>11686</v>
      </c>
      <c r="D49" s="252">
        <v>9798369308080</v>
      </c>
      <c r="E49" s="252">
        <v>9798369308073</v>
      </c>
      <c r="F49" s="253" t="s">
        <v>11757</v>
      </c>
      <c r="G49" s="254">
        <v>1</v>
      </c>
      <c r="H49" s="254">
        <v>1</v>
      </c>
      <c r="I49" s="251" t="s">
        <v>11758</v>
      </c>
      <c r="J49" s="251" t="s">
        <v>569</v>
      </c>
      <c r="K49" s="254">
        <v>2024</v>
      </c>
      <c r="L49" s="251" t="s">
        <v>11619</v>
      </c>
      <c r="M49" s="251"/>
      <c r="N49" s="255" t="s">
        <v>11759</v>
      </c>
    </row>
    <row r="50" spans="1:14" ht="26.4">
      <c r="A50" s="230">
        <v>49</v>
      </c>
      <c r="B50" s="251" t="s">
        <v>5071</v>
      </c>
      <c r="C50" s="251" t="s">
        <v>11633</v>
      </c>
      <c r="D50" s="252">
        <v>9781668498354</v>
      </c>
      <c r="E50" s="252">
        <v>9781668498330</v>
      </c>
      <c r="F50" s="253" t="s">
        <v>11760</v>
      </c>
      <c r="G50" s="254">
        <v>1</v>
      </c>
      <c r="H50" s="254">
        <v>1</v>
      </c>
      <c r="I50" s="251" t="s">
        <v>11761</v>
      </c>
      <c r="J50" s="251" t="s">
        <v>568</v>
      </c>
      <c r="K50" s="254">
        <v>2024</v>
      </c>
      <c r="L50" s="251" t="s">
        <v>11619</v>
      </c>
      <c r="M50" s="251"/>
      <c r="N50" s="255" t="s">
        <v>11762</v>
      </c>
    </row>
    <row r="51" spans="1:14" ht="26.4">
      <c r="A51" s="230">
        <v>50</v>
      </c>
      <c r="B51" s="251" t="s">
        <v>5071</v>
      </c>
      <c r="C51" s="251" t="s">
        <v>11633</v>
      </c>
      <c r="D51" s="252">
        <v>9798369308240</v>
      </c>
      <c r="E51" s="252">
        <v>9798369308233</v>
      </c>
      <c r="F51" s="253" t="s">
        <v>11763</v>
      </c>
      <c r="G51" s="254">
        <v>1</v>
      </c>
      <c r="H51" s="254">
        <v>1</v>
      </c>
      <c r="I51" s="251" t="s">
        <v>11764</v>
      </c>
      <c r="J51" s="251" t="s">
        <v>568</v>
      </c>
      <c r="K51" s="254">
        <v>2024</v>
      </c>
      <c r="L51" s="251" t="s">
        <v>11619</v>
      </c>
      <c r="M51" s="251"/>
      <c r="N51" s="255" t="s">
        <v>11765</v>
      </c>
    </row>
    <row r="52" spans="1:14" ht="26.4">
      <c r="A52" s="230">
        <v>51</v>
      </c>
      <c r="B52" s="251" t="s">
        <v>5071</v>
      </c>
      <c r="C52" s="251" t="s">
        <v>11633</v>
      </c>
      <c r="D52" s="252">
        <v>9798369310595</v>
      </c>
      <c r="E52" s="252">
        <v>9798369310588</v>
      </c>
      <c r="F52" s="253" t="s">
        <v>11766</v>
      </c>
      <c r="G52" s="254">
        <v>1</v>
      </c>
      <c r="H52" s="254">
        <v>1</v>
      </c>
      <c r="I52" s="251" t="s">
        <v>11767</v>
      </c>
      <c r="J52" s="251" t="s">
        <v>568</v>
      </c>
      <c r="K52" s="254">
        <v>2024</v>
      </c>
      <c r="L52" s="251" t="s">
        <v>11619</v>
      </c>
      <c r="M52" s="251"/>
      <c r="N52" s="255" t="s">
        <v>11768</v>
      </c>
    </row>
    <row r="53" spans="1:14" ht="26.4">
      <c r="A53" s="230">
        <v>52</v>
      </c>
      <c r="B53" s="251" t="s">
        <v>5071</v>
      </c>
      <c r="C53" s="251" t="s">
        <v>11749</v>
      </c>
      <c r="D53" s="252">
        <v>9798369313480</v>
      </c>
      <c r="E53" s="252">
        <v>9798369313473</v>
      </c>
      <c r="F53" s="253" t="s">
        <v>11769</v>
      </c>
      <c r="G53" s="254">
        <v>1</v>
      </c>
      <c r="H53" s="254">
        <v>1</v>
      </c>
      <c r="I53" s="251" t="s">
        <v>11770</v>
      </c>
      <c r="J53" s="251" t="s">
        <v>568</v>
      </c>
      <c r="K53" s="254">
        <v>2024</v>
      </c>
      <c r="L53" s="251" t="s">
        <v>11619</v>
      </c>
      <c r="M53" s="251"/>
      <c r="N53" s="255" t="s">
        <v>11771</v>
      </c>
    </row>
    <row r="54" spans="1:14" ht="26.4">
      <c r="A54" s="230">
        <v>53</v>
      </c>
      <c r="B54" s="251" t="s">
        <v>5071</v>
      </c>
      <c r="C54" s="251" t="s">
        <v>11706</v>
      </c>
      <c r="D54" s="252">
        <v>9798369313329</v>
      </c>
      <c r="E54" s="252">
        <v>9798369313312</v>
      </c>
      <c r="F54" s="253" t="s">
        <v>11772</v>
      </c>
      <c r="G54" s="254">
        <v>1</v>
      </c>
      <c r="H54" s="254">
        <v>1</v>
      </c>
      <c r="I54" s="251" t="s">
        <v>11773</v>
      </c>
      <c r="J54" s="251" t="s">
        <v>568</v>
      </c>
      <c r="K54" s="254">
        <v>2024</v>
      </c>
      <c r="L54" s="251" t="s">
        <v>11619</v>
      </c>
      <c r="M54" s="251"/>
      <c r="N54" s="255" t="s">
        <v>11774</v>
      </c>
    </row>
    <row r="55" spans="1:14">
      <c r="A55" s="230">
        <v>54</v>
      </c>
      <c r="B55" s="251" t="s">
        <v>5071</v>
      </c>
      <c r="C55" s="251" t="s">
        <v>11633</v>
      </c>
      <c r="D55" s="252">
        <v>9798369313237</v>
      </c>
      <c r="E55" s="252">
        <v>9798369313220</v>
      </c>
      <c r="F55" s="253" t="s">
        <v>11775</v>
      </c>
      <c r="G55" s="254">
        <v>1</v>
      </c>
      <c r="H55" s="254">
        <v>1</v>
      </c>
      <c r="I55" s="251" t="s">
        <v>11776</v>
      </c>
      <c r="J55" s="251" t="s">
        <v>568</v>
      </c>
      <c r="K55" s="254">
        <v>2024</v>
      </c>
      <c r="L55" s="251" t="s">
        <v>11619</v>
      </c>
      <c r="M55" s="251"/>
      <c r="N55" s="255" t="s">
        <v>11777</v>
      </c>
    </row>
    <row r="56" spans="1:14" ht="26.4">
      <c r="A56" s="230">
        <v>55</v>
      </c>
      <c r="B56" s="251" t="s">
        <v>5071</v>
      </c>
      <c r="C56" s="251" t="s">
        <v>11633</v>
      </c>
      <c r="D56" s="252">
        <v>9798369312742</v>
      </c>
      <c r="E56" s="252">
        <v>9798369312735</v>
      </c>
      <c r="F56" s="253" t="s">
        <v>11778</v>
      </c>
      <c r="G56" s="254">
        <v>1</v>
      </c>
      <c r="H56" s="254">
        <v>1</v>
      </c>
      <c r="I56" s="251" t="s">
        <v>11673</v>
      </c>
      <c r="J56" s="251" t="s">
        <v>568</v>
      </c>
      <c r="K56" s="254">
        <v>2024</v>
      </c>
      <c r="L56" s="251" t="s">
        <v>11619</v>
      </c>
      <c r="M56" s="251"/>
      <c r="N56" s="255" t="s">
        <v>11779</v>
      </c>
    </row>
    <row r="57" spans="1:14">
      <c r="A57" s="230">
        <v>56</v>
      </c>
      <c r="B57" s="251" t="s">
        <v>5071</v>
      </c>
      <c r="C57" s="251" t="s">
        <v>11636</v>
      </c>
      <c r="D57" s="252">
        <v>9798369311837</v>
      </c>
      <c r="E57" s="252">
        <v>9798369311820</v>
      </c>
      <c r="F57" s="253" t="s">
        <v>11780</v>
      </c>
      <c r="G57" s="254">
        <v>1</v>
      </c>
      <c r="H57" s="254">
        <v>1</v>
      </c>
      <c r="I57" s="251" t="s">
        <v>11781</v>
      </c>
      <c r="J57" s="251" t="s">
        <v>569</v>
      </c>
      <c r="K57" s="254">
        <v>2024</v>
      </c>
      <c r="L57" s="251" t="s">
        <v>11619</v>
      </c>
      <c r="M57" s="251"/>
      <c r="N57" s="255" t="s">
        <v>11782</v>
      </c>
    </row>
    <row r="58" spans="1:14" ht="26.4">
      <c r="A58" s="230">
        <v>57</v>
      </c>
      <c r="B58" s="251" t="s">
        <v>5071</v>
      </c>
      <c r="C58" s="251" t="s">
        <v>11633</v>
      </c>
      <c r="D58" s="252">
        <v>9798369310311</v>
      </c>
      <c r="E58" s="252">
        <v>9798369310304</v>
      </c>
      <c r="F58" s="253" t="s">
        <v>11783</v>
      </c>
      <c r="G58" s="254">
        <v>1</v>
      </c>
      <c r="H58" s="254">
        <v>1</v>
      </c>
      <c r="I58" s="251" t="s">
        <v>11784</v>
      </c>
      <c r="J58" s="251" t="s">
        <v>568</v>
      </c>
      <c r="K58" s="254">
        <v>2024</v>
      </c>
      <c r="L58" s="251" t="s">
        <v>11619</v>
      </c>
      <c r="M58" s="251"/>
      <c r="N58" s="255" t="s">
        <v>11785</v>
      </c>
    </row>
    <row r="59" spans="1:14" ht="26.4">
      <c r="A59" s="230">
        <v>58</v>
      </c>
      <c r="B59" s="251" t="s">
        <v>5071</v>
      </c>
      <c r="C59" s="251" t="s">
        <v>11633</v>
      </c>
      <c r="D59" s="252">
        <v>9798369309940</v>
      </c>
      <c r="E59" s="252">
        <v>9798369309933</v>
      </c>
      <c r="F59" s="253" t="s">
        <v>11786</v>
      </c>
      <c r="G59" s="254">
        <v>1</v>
      </c>
      <c r="H59" s="254">
        <v>1</v>
      </c>
      <c r="I59" s="251" t="s">
        <v>11787</v>
      </c>
      <c r="J59" s="251" t="s">
        <v>568</v>
      </c>
      <c r="K59" s="254">
        <v>2024</v>
      </c>
      <c r="L59" s="251" t="s">
        <v>11619</v>
      </c>
      <c r="M59" s="251"/>
      <c r="N59" s="255" t="s">
        <v>11788</v>
      </c>
    </row>
    <row r="60" spans="1:14" ht="26.4">
      <c r="A60" s="230">
        <v>59</v>
      </c>
      <c r="B60" s="251" t="s">
        <v>5071</v>
      </c>
      <c r="C60" s="251" t="s">
        <v>11621</v>
      </c>
      <c r="D60" s="252">
        <v>9798369308325</v>
      </c>
      <c r="E60" s="252">
        <v>9798369308318</v>
      </c>
      <c r="F60" s="253" t="s">
        <v>11789</v>
      </c>
      <c r="G60" s="254">
        <v>1</v>
      </c>
      <c r="H60" s="254">
        <v>1</v>
      </c>
      <c r="I60" s="251" t="s">
        <v>11790</v>
      </c>
      <c r="J60" s="251" t="s">
        <v>569</v>
      </c>
      <c r="K60" s="254">
        <v>2024</v>
      </c>
      <c r="L60" s="251" t="s">
        <v>11619</v>
      </c>
      <c r="M60" s="251"/>
      <c r="N60" s="255" t="s">
        <v>11791</v>
      </c>
    </row>
    <row r="61" spans="1:14" ht="26.4">
      <c r="A61" s="230">
        <v>60</v>
      </c>
      <c r="B61" s="251" t="s">
        <v>5071</v>
      </c>
      <c r="C61" s="251" t="s">
        <v>11621</v>
      </c>
      <c r="D61" s="252">
        <v>9798369309575</v>
      </c>
      <c r="E61" s="252">
        <v>9798369309568</v>
      </c>
      <c r="F61" s="253" t="s">
        <v>11792</v>
      </c>
      <c r="G61" s="254">
        <v>1</v>
      </c>
      <c r="H61" s="254">
        <v>1</v>
      </c>
      <c r="I61" s="251" t="s">
        <v>11793</v>
      </c>
      <c r="J61" s="251" t="s">
        <v>569</v>
      </c>
      <c r="K61" s="254">
        <v>2024</v>
      </c>
      <c r="L61" s="251" t="s">
        <v>11619</v>
      </c>
      <c r="M61" s="251"/>
      <c r="N61" s="255" t="s">
        <v>11794</v>
      </c>
    </row>
    <row r="62" spans="1:14" ht="26.4">
      <c r="A62" s="230">
        <v>61</v>
      </c>
      <c r="B62" s="251" t="s">
        <v>5071</v>
      </c>
      <c r="C62" s="251" t="s">
        <v>11621</v>
      </c>
      <c r="D62" s="252">
        <v>9798369312704</v>
      </c>
      <c r="E62" s="252">
        <v>9798369312698</v>
      </c>
      <c r="F62" s="253" t="s">
        <v>11795</v>
      </c>
      <c r="G62" s="254">
        <v>1</v>
      </c>
      <c r="H62" s="254">
        <v>1</v>
      </c>
      <c r="I62" s="251" t="s">
        <v>11796</v>
      </c>
      <c r="J62" s="251" t="s">
        <v>569</v>
      </c>
      <c r="K62" s="254">
        <v>2024</v>
      </c>
      <c r="L62" s="251" t="s">
        <v>11619</v>
      </c>
      <c r="M62" s="251"/>
      <c r="N62" s="255" t="s">
        <v>11797</v>
      </c>
    </row>
    <row r="63" spans="1:14" ht="26.4">
      <c r="A63" s="230">
        <v>62</v>
      </c>
      <c r="B63" s="251" t="s">
        <v>5071</v>
      </c>
      <c r="C63" s="251" t="s">
        <v>11621</v>
      </c>
      <c r="D63" s="252">
        <v>9798369310793</v>
      </c>
      <c r="E63" s="252">
        <v>9798369310786</v>
      </c>
      <c r="F63" s="253" t="s">
        <v>11798</v>
      </c>
      <c r="G63" s="254">
        <v>1</v>
      </c>
      <c r="H63" s="254">
        <v>1</v>
      </c>
      <c r="I63" s="251" t="s">
        <v>11799</v>
      </c>
      <c r="J63" s="251" t="s">
        <v>569</v>
      </c>
      <c r="K63" s="254">
        <v>2024</v>
      </c>
      <c r="L63" s="251" t="s">
        <v>11619</v>
      </c>
      <c r="M63" s="251"/>
      <c r="N63" s="255" t="s">
        <v>11800</v>
      </c>
    </row>
    <row r="64" spans="1:14" ht="26.4">
      <c r="A64" s="230">
        <v>63</v>
      </c>
      <c r="B64" s="251" t="s">
        <v>5071</v>
      </c>
      <c r="C64" s="251" t="s">
        <v>11706</v>
      </c>
      <c r="D64" s="252">
        <v>9798369315620</v>
      </c>
      <c r="E64" s="252">
        <v>9798369315613</v>
      </c>
      <c r="F64" s="253" t="s">
        <v>11801</v>
      </c>
      <c r="G64" s="254">
        <v>1</v>
      </c>
      <c r="H64" s="254">
        <v>1</v>
      </c>
      <c r="I64" s="251" t="s">
        <v>11802</v>
      </c>
      <c r="J64" s="251" t="s">
        <v>568</v>
      </c>
      <c r="K64" s="254">
        <v>2024</v>
      </c>
      <c r="L64" s="251" t="s">
        <v>11619</v>
      </c>
      <c r="M64" s="251"/>
      <c r="N64" s="255" t="s">
        <v>11803</v>
      </c>
    </row>
    <row r="65" spans="1:14" ht="26.4">
      <c r="A65" s="230">
        <v>64</v>
      </c>
      <c r="B65" s="251" t="s">
        <v>5071</v>
      </c>
      <c r="C65" s="251" t="s">
        <v>11621</v>
      </c>
      <c r="D65" s="252">
        <v>9798369315378</v>
      </c>
      <c r="E65" s="252">
        <v>9798369315361</v>
      </c>
      <c r="F65" s="253" t="s">
        <v>11804</v>
      </c>
      <c r="G65" s="254">
        <v>1</v>
      </c>
      <c r="H65" s="254">
        <v>1</v>
      </c>
      <c r="I65" s="251" t="s">
        <v>11805</v>
      </c>
      <c r="J65" s="251" t="s">
        <v>569</v>
      </c>
      <c r="K65" s="254">
        <v>2024</v>
      </c>
      <c r="L65" s="251" t="s">
        <v>11619</v>
      </c>
      <c r="M65" s="251"/>
      <c r="N65" s="255" t="s">
        <v>11806</v>
      </c>
    </row>
    <row r="66" spans="1:14">
      <c r="A66" s="230">
        <v>65</v>
      </c>
      <c r="B66" s="251" t="s">
        <v>5071</v>
      </c>
      <c r="C66" s="251" t="s">
        <v>11621</v>
      </c>
      <c r="D66" s="252">
        <v>9798369302422</v>
      </c>
      <c r="E66" s="252">
        <v>9798369302408</v>
      </c>
      <c r="F66" s="253" t="s">
        <v>11807</v>
      </c>
      <c r="G66" s="254">
        <v>1</v>
      </c>
      <c r="H66" s="254">
        <v>1</v>
      </c>
      <c r="I66" s="251" t="s">
        <v>11808</v>
      </c>
      <c r="J66" s="251" t="s">
        <v>569</v>
      </c>
      <c r="K66" s="254">
        <v>2024</v>
      </c>
      <c r="L66" s="251" t="s">
        <v>11619</v>
      </c>
      <c r="M66" s="251"/>
      <c r="N66" s="255" t="s">
        <v>11809</v>
      </c>
    </row>
    <row r="67" spans="1:14" ht="26.4">
      <c r="A67" s="230">
        <v>66</v>
      </c>
      <c r="B67" s="251" t="s">
        <v>5071</v>
      </c>
      <c r="C67" s="251" t="s">
        <v>11643</v>
      </c>
      <c r="D67" s="252">
        <v>9798369312988</v>
      </c>
      <c r="E67" s="252">
        <v>9798369312971</v>
      </c>
      <c r="F67" s="253" t="s">
        <v>11810</v>
      </c>
      <c r="G67" s="254">
        <v>1</v>
      </c>
      <c r="H67" s="254">
        <v>1</v>
      </c>
      <c r="I67" s="251" t="s">
        <v>9705</v>
      </c>
      <c r="J67" s="251" t="s">
        <v>1233</v>
      </c>
      <c r="K67" s="254">
        <v>2024</v>
      </c>
      <c r="L67" s="251" t="s">
        <v>11619</v>
      </c>
      <c r="M67" s="251"/>
      <c r="N67" s="255" t="s">
        <v>11811</v>
      </c>
    </row>
    <row r="68" spans="1:14" ht="26.4">
      <c r="A68" s="230">
        <v>67</v>
      </c>
      <c r="B68" s="251" t="s">
        <v>5071</v>
      </c>
      <c r="C68" s="251" t="s">
        <v>11621</v>
      </c>
      <c r="D68" s="252">
        <v>9798369312070</v>
      </c>
      <c r="E68" s="252">
        <v>9798369312063</v>
      </c>
      <c r="F68" s="253" t="s">
        <v>11812</v>
      </c>
      <c r="G68" s="254">
        <v>1</v>
      </c>
      <c r="H68" s="254">
        <v>1</v>
      </c>
      <c r="I68" s="251" t="s">
        <v>11813</v>
      </c>
      <c r="J68" s="251" t="s">
        <v>569</v>
      </c>
      <c r="K68" s="254">
        <v>2024</v>
      </c>
      <c r="L68" s="251" t="s">
        <v>11619</v>
      </c>
      <c r="M68" s="251"/>
      <c r="N68" s="255" t="s">
        <v>11814</v>
      </c>
    </row>
    <row r="69" spans="1:14">
      <c r="A69" s="230">
        <v>68</v>
      </c>
      <c r="B69" s="251" t="s">
        <v>5071</v>
      </c>
      <c r="C69" s="251" t="s">
        <v>11621</v>
      </c>
      <c r="D69" s="252">
        <v>9798369305393</v>
      </c>
      <c r="E69" s="252">
        <v>9798369305379</v>
      </c>
      <c r="F69" s="253" t="s">
        <v>11815</v>
      </c>
      <c r="G69" s="254">
        <v>1</v>
      </c>
      <c r="H69" s="254">
        <v>1</v>
      </c>
      <c r="I69" s="251" t="s">
        <v>11816</v>
      </c>
      <c r="J69" s="251" t="s">
        <v>569</v>
      </c>
      <c r="K69" s="254">
        <v>2024</v>
      </c>
      <c r="L69" s="251" t="s">
        <v>11619</v>
      </c>
      <c r="M69" s="251"/>
      <c r="N69" s="255" t="s">
        <v>11817</v>
      </c>
    </row>
    <row r="70" spans="1:14" ht="26.4">
      <c r="A70" s="230">
        <v>69</v>
      </c>
      <c r="B70" s="251" t="s">
        <v>5071</v>
      </c>
      <c r="C70" s="251" t="s">
        <v>11621</v>
      </c>
      <c r="D70" s="252">
        <v>9798369307632</v>
      </c>
      <c r="E70" s="252">
        <v>9798369307625</v>
      </c>
      <c r="F70" s="253" t="s">
        <v>11818</v>
      </c>
      <c r="G70" s="254">
        <v>1</v>
      </c>
      <c r="H70" s="254">
        <v>1</v>
      </c>
      <c r="I70" s="251" t="s">
        <v>11819</v>
      </c>
      <c r="J70" s="251" t="s">
        <v>569</v>
      </c>
      <c r="K70" s="254">
        <v>2024</v>
      </c>
      <c r="L70" s="251" t="s">
        <v>11619</v>
      </c>
      <c r="M70" s="251"/>
      <c r="N70" s="255" t="s">
        <v>11820</v>
      </c>
    </row>
    <row r="71" spans="1:14">
      <c r="A71" s="230">
        <v>70</v>
      </c>
      <c r="B71" s="251" t="s">
        <v>5071</v>
      </c>
      <c r="C71" s="251" t="s">
        <v>11621</v>
      </c>
      <c r="D71" s="252">
        <v>9798369308738</v>
      </c>
      <c r="E71" s="252">
        <v>9798369308721</v>
      </c>
      <c r="F71" s="253" t="s">
        <v>11821</v>
      </c>
      <c r="G71" s="254">
        <v>1</v>
      </c>
      <c r="H71" s="254">
        <v>1</v>
      </c>
      <c r="I71" s="251" t="s">
        <v>11822</v>
      </c>
      <c r="J71" s="251" t="s">
        <v>569</v>
      </c>
      <c r="K71" s="254">
        <v>2024</v>
      </c>
      <c r="L71" s="251" t="s">
        <v>11619</v>
      </c>
      <c r="M71" s="251"/>
      <c r="N71" s="255" t="s">
        <v>11823</v>
      </c>
    </row>
    <row r="72" spans="1:14" ht="26.4">
      <c r="A72" s="230">
        <v>71</v>
      </c>
      <c r="B72" s="251" t="s">
        <v>5071</v>
      </c>
      <c r="C72" s="251" t="s">
        <v>11621</v>
      </c>
      <c r="D72" s="252">
        <v>9798369313527</v>
      </c>
      <c r="E72" s="252">
        <v>9798369313510</v>
      </c>
      <c r="F72" s="253" t="s">
        <v>11824</v>
      </c>
      <c r="G72" s="254">
        <v>1</v>
      </c>
      <c r="H72" s="254">
        <v>1</v>
      </c>
      <c r="I72" s="251" t="s">
        <v>6942</v>
      </c>
      <c r="J72" s="251" t="s">
        <v>1233</v>
      </c>
      <c r="K72" s="254">
        <v>2024</v>
      </c>
      <c r="L72" s="251" t="s">
        <v>11619</v>
      </c>
      <c r="M72" s="251"/>
      <c r="N72" s="255" t="s">
        <v>11825</v>
      </c>
    </row>
    <row r="73" spans="1:14" ht="26.4">
      <c r="A73" s="230">
        <v>72</v>
      </c>
      <c r="B73" s="251" t="s">
        <v>5071</v>
      </c>
      <c r="C73" s="251" t="s">
        <v>11690</v>
      </c>
      <c r="D73" s="252">
        <v>9798369319116</v>
      </c>
      <c r="E73" s="252">
        <v>9798369319109</v>
      </c>
      <c r="F73" s="253" t="s">
        <v>11826</v>
      </c>
      <c r="G73" s="254">
        <v>1</v>
      </c>
      <c r="H73" s="254">
        <v>1</v>
      </c>
      <c r="I73" s="251" t="s">
        <v>11827</v>
      </c>
      <c r="J73" s="251" t="s">
        <v>561</v>
      </c>
      <c r="K73" s="254">
        <v>2024</v>
      </c>
      <c r="L73" s="251" t="s">
        <v>11619</v>
      </c>
      <c r="M73" s="251"/>
      <c r="N73" s="255" t="s">
        <v>11828</v>
      </c>
    </row>
    <row r="74" spans="1:14" ht="26.4">
      <c r="A74" s="230">
        <v>73</v>
      </c>
      <c r="B74" s="251" t="s">
        <v>5071</v>
      </c>
      <c r="C74" s="251" t="s">
        <v>11633</v>
      </c>
      <c r="D74" s="252">
        <v>9798369318195</v>
      </c>
      <c r="E74" s="252">
        <v>9798369318188</v>
      </c>
      <c r="F74" s="253" t="s">
        <v>11829</v>
      </c>
      <c r="G74" s="254">
        <v>1</v>
      </c>
      <c r="H74" s="254">
        <v>1</v>
      </c>
      <c r="I74" s="251" t="s">
        <v>11830</v>
      </c>
      <c r="J74" s="251" t="s">
        <v>568</v>
      </c>
      <c r="K74" s="254">
        <v>2024</v>
      </c>
      <c r="L74" s="251" t="s">
        <v>11619</v>
      </c>
      <c r="M74" s="251"/>
      <c r="N74" s="255" t="s">
        <v>11831</v>
      </c>
    </row>
    <row r="75" spans="1:14" ht="26.4">
      <c r="A75" s="230">
        <v>74</v>
      </c>
      <c r="B75" s="251" t="s">
        <v>5071</v>
      </c>
      <c r="C75" s="251" t="s">
        <v>11633</v>
      </c>
      <c r="D75" s="252">
        <v>9798369319796</v>
      </c>
      <c r="E75" s="252">
        <v>9798369319789</v>
      </c>
      <c r="F75" s="253" t="s">
        <v>11832</v>
      </c>
      <c r="G75" s="254">
        <v>1</v>
      </c>
      <c r="H75" s="254">
        <v>1</v>
      </c>
      <c r="I75" s="251" t="s">
        <v>11833</v>
      </c>
      <c r="J75" s="251" t="s">
        <v>568</v>
      </c>
      <c r="K75" s="254">
        <v>2024</v>
      </c>
      <c r="L75" s="251" t="s">
        <v>11619</v>
      </c>
      <c r="M75" s="251"/>
      <c r="N75" s="255" t="s">
        <v>11834</v>
      </c>
    </row>
    <row r="76" spans="1:14" ht="26.4">
      <c r="A76" s="230">
        <v>75</v>
      </c>
      <c r="B76" s="251" t="s">
        <v>5071</v>
      </c>
      <c r="C76" s="251" t="s">
        <v>11706</v>
      </c>
      <c r="D76" s="252">
        <v>9798369317471</v>
      </c>
      <c r="E76" s="252">
        <v>9798369317464</v>
      </c>
      <c r="F76" s="253" t="s">
        <v>11835</v>
      </c>
      <c r="G76" s="254">
        <v>1</v>
      </c>
      <c r="H76" s="254">
        <v>1</v>
      </c>
      <c r="I76" s="251" t="s">
        <v>10782</v>
      </c>
      <c r="J76" s="251" t="s">
        <v>568</v>
      </c>
      <c r="K76" s="254">
        <v>2024</v>
      </c>
      <c r="L76" s="251" t="s">
        <v>11619</v>
      </c>
      <c r="M76" s="251"/>
      <c r="N76" s="255" t="s">
        <v>11836</v>
      </c>
    </row>
    <row r="77" spans="1:14" ht="26.4">
      <c r="A77" s="230">
        <v>76</v>
      </c>
      <c r="B77" s="251" t="s">
        <v>5071</v>
      </c>
      <c r="C77" s="251" t="s">
        <v>11633</v>
      </c>
      <c r="D77" s="252">
        <v>9798369311042</v>
      </c>
      <c r="E77" s="252">
        <v>9798369311035</v>
      </c>
      <c r="F77" s="253" t="s">
        <v>11837</v>
      </c>
      <c r="G77" s="254">
        <v>1</v>
      </c>
      <c r="H77" s="254">
        <v>1</v>
      </c>
      <c r="I77" s="251" t="s">
        <v>9209</v>
      </c>
      <c r="J77" s="251" t="s">
        <v>568</v>
      </c>
      <c r="K77" s="254">
        <v>2024</v>
      </c>
      <c r="L77" s="251" t="s">
        <v>11619</v>
      </c>
      <c r="M77" s="251"/>
      <c r="N77" s="255" t="s">
        <v>11838</v>
      </c>
    </row>
    <row r="78" spans="1:14">
      <c r="A78" s="230">
        <v>77</v>
      </c>
      <c r="B78" s="251" t="s">
        <v>5071</v>
      </c>
      <c r="C78" s="251" t="s">
        <v>11621</v>
      </c>
      <c r="D78" s="252">
        <v>9798369308691</v>
      </c>
      <c r="E78" s="252">
        <v>9798369308684</v>
      </c>
      <c r="F78" s="253" t="s">
        <v>11839</v>
      </c>
      <c r="G78" s="254">
        <v>1</v>
      </c>
      <c r="H78" s="254">
        <v>1</v>
      </c>
      <c r="I78" s="251" t="s">
        <v>11840</v>
      </c>
      <c r="J78" s="251" t="s">
        <v>569</v>
      </c>
      <c r="K78" s="254">
        <v>2024</v>
      </c>
      <c r="L78" s="251" t="s">
        <v>11619</v>
      </c>
      <c r="M78" s="251"/>
      <c r="N78" s="255" t="s">
        <v>11841</v>
      </c>
    </row>
    <row r="79" spans="1:14" ht="26.4">
      <c r="A79" s="230">
        <v>78</v>
      </c>
      <c r="B79" s="251" t="s">
        <v>5071</v>
      </c>
      <c r="C79" s="251" t="s">
        <v>11633</v>
      </c>
      <c r="D79" s="252">
        <v>9798369308400</v>
      </c>
      <c r="E79" s="252">
        <v>9798369308394</v>
      </c>
      <c r="F79" s="253" t="s">
        <v>11842</v>
      </c>
      <c r="G79" s="254">
        <v>1</v>
      </c>
      <c r="H79" s="254">
        <v>1</v>
      </c>
      <c r="I79" s="251" t="s">
        <v>2573</v>
      </c>
      <c r="J79" s="251" t="s">
        <v>568</v>
      </c>
      <c r="K79" s="254">
        <v>2024</v>
      </c>
      <c r="L79" s="251" t="s">
        <v>11619</v>
      </c>
      <c r="M79" s="251"/>
      <c r="N79" s="255" t="s">
        <v>11843</v>
      </c>
    </row>
    <row r="80" spans="1:14" ht="26.4">
      <c r="A80" s="230">
        <v>79</v>
      </c>
      <c r="B80" s="251" t="s">
        <v>5071</v>
      </c>
      <c r="C80" s="251" t="s">
        <v>11686</v>
      </c>
      <c r="D80" s="252">
        <v>9798369313725</v>
      </c>
      <c r="E80" s="252">
        <v>9798369313718</v>
      </c>
      <c r="F80" s="253" t="s">
        <v>11844</v>
      </c>
      <c r="G80" s="254">
        <v>1</v>
      </c>
      <c r="H80" s="254">
        <v>1</v>
      </c>
      <c r="I80" s="251" t="s">
        <v>11249</v>
      </c>
      <c r="J80" s="251" t="s">
        <v>569</v>
      </c>
      <c r="K80" s="254">
        <v>2024</v>
      </c>
      <c r="L80" s="251" t="s">
        <v>11619</v>
      </c>
      <c r="M80" s="251"/>
      <c r="N80" s="255" t="s">
        <v>11845</v>
      </c>
    </row>
    <row r="81" spans="1:14" ht="26.4">
      <c r="A81" s="230">
        <v>80</v>
      </c>
      <c r="B81" s="251" t="s">
        <v>5071</v>
      </c>
      <c r="C81" s="251" t="s">
        <v>11633</v>
      </c>
      <c r="D81" s="252">
        <v>9798369318157</v>
      </c>
      <c r="E81" s="252">
        <v>9798369318140</v>
      </c>
      <c r="F81" s="253" t="s">
        <v>11846</v>
      </c>
      <c r="G81" s="254">
        <v>1</v>
      </c>
      <c r="H81" s="254">
        <v>1</v>
      </c>
      <c r="I81" s="251" t="s">
        <v>11847</v>
      </c>
      <c r="J81" s="251" t="s">
        <v>568</v>
      </c>
      <c r="K81" s="254">
        <v>2024</v>
      </c>
      <c r="L81" s="251" t="s">
        <v>11619</v>
      </c>
      <c r="M81" s="251"/>
      <c r="N81" s="255" t="s">
        <v>11848</v>
      </c>
    </row>
    <row r="82" spans="1:14" ht="26.4">
      <c r="A82" s="230">
        <v>81</v>
      </c>
      <c r="B82" s="251" t="s">
        <v>5071</v>
      </c>
      <c r="C82" s="251" t="s">
        <v>11633</v>
      </c>
      <c r="D82" s="252">
        <v>9798369318430</v>
      </c>
      <c r="E82" s="252">
        <v>9798369318423</v>
      </c>
      <c r="F82" s="253" t="s">
        <v>11849</v>
      </c>
      <c r="G82" s="254">
        <v>1</v>
      </c>
      <c r="H82" s="254">
        <v>1</v>
      </c>
      <c r="I82" s="251" t="s">
        <v>11850</v>
      </c>
      <c r="J82" s="251" t="s">
        <v>568</v>
      </c>
      <c r="K82" s="254">
        <v>2024</v>
      </c>
      <c r="L82" s="251" t="s">
        <v>11619</v>
      </c>
      <c r="M82" s="251"/>
      <c r="N82" s="255" t="s">
        <v>11851</v>
      </c>
    </row>
    <row r="83" spans="1:14" ht="26.4">
      <c r="A83" s="230">
        <v>82</v>
      </c>
      <c r="B83" s="251" t="s">
        <v>5071</v>
      </c>
      <c r="C83" s="251" t="s">
        <v>11633</v>
      </c>
      <c r="D83" s="252">
        <v>9798369322499</v>
      </c>
      <c r="E83" s="252">
        <v>9798369322482</v>
      </c>
      <c r="F83" s="253" t="s">
        <v>11852</v>
      </c>
      <c r="G83" s="254">
        <v>1</v>
      </c>
      <c r="H83" s="254">
        <v>1</v>
      </c>
      <c r="I83" s="251" t="s">
        <v>11853</v>
      </c>
      <c r="J83" s="251" t="s">
        <v>568</v>
      </c>
      <c r="K83" s="254">
        <v>2024</v>
      </c>
      <c r="L83" s="251" t="s">
        <v>11619</v>
      </c>
      <c r="M83" s="251"/>
      <c r="N83" s="255" t="s">
        <v>11854</v>
      </c>
    </row>
    <row r="84" spans="1:14" ht="26.4">
      <c r="A84" s="230">
        <v>83</v>
      </c>
      <c r="B84" s="251" t="s">
        <v>5071</v>
      </c>
      <c r="C84" s="251" t="s">
        <v>11706</v>
      </c>
      <c r="D84" s="252">
        <v>9798369326848</v>
      </c>
      <c r="E84" s="252">
        <v>9798369326831</v>
      </c>
      <c r="F84" s="253" t="s">
        <v>11855</v>
      </c>
      <c r="G84" s="254">
        <v>1</v>
      </c>
      <c r="H84" s="254">
        <v>1</v>
      </c>
      <c r="I84" s="251" t="s">
        <v>11711</v>
      </c>
      <c r="J84" s="251" t="s">
        <v>568</v>
      </c>
      <c r="K84" s="254">
        <v>2024</v>
      </c>
      <c r="L84" s="251" t="s">
        <v>11619</v>
      </c>
      <c r="M84" s="251"/>
      <c r="N84" s="255" t="s">
        <v>11856</v>
      </c>
    </row>
    <row r="85" spans="1:14" ht="26.4">
      <c r="A85" s="230">
        <v>84</v>
      </c>
      <c r="B85" s="251" t="s">
        <v>5071</v>
      </c>
      <c r="C85" s="251" t="s">
        <v>11690</v>
      </c>
      <c r="D85" s="252">
        <v>9798369321782</v>
      </c>
      <c r="E85" s="252">
        <v>9798369321775</v>
      </c>
      <c r="F85" s="253" t="s">
        <v>11857</v>
      </c>
      <c r="G85" s="254">
        <v>1</v>
      </c>
      <c r="H85" s="254">
        <v>1</v>
      </c>
      <c r="I85" s="251" t="s">
        <v>11858</v>
      </c>
      <c r="J85" s="251" t="s">
        <v>569</v>
      </c>
      <c r="K85" s="254">
        <v>2024</v>
      </c>
      <c r="L85" s="251" t="s">
        <v>11619</v>
      </c>
      <c r="M85" s="251"/>
      <c r="N85" s="255" t="s">
        <v>11859</v>
      </c>
    </row>
    <row r="86" spans="1:14">
      <c r="A86" s="230">
        <v>85</v>
      </c>
      <c r="B86" s="251" t="s">
        <v>5071</v>
      </c>
      <c r="C86" s="251" t="s">
        <v>11749</v>
      </c>
      <c r="D86" s="252">
        <v>9798369319192</v>
      </c>
      <c r="E86" s="252">
        <v>9798369319185</v>
      </c>
      <c r="F86" s="253" t="s">
        <v>11860</v>
      </c>
      <c r="G86" s="254">
        <v>1</v>
      </c>
      <c r="H86" s="254">
        <v>1</v>
      </c>
      <c r="I86" s="251" t="s">
        <v>9105</v>
      </c>
      <c r="J86" s="251" t="s">
        <v>568</v>
      </c>
      <c r="K86" s="254">
        <v>2024</v>
      </c>
      <c r="L86" s="251" t="s">
        <v>11619</v>
      </c>
      <c r="M86" s="251"/>
      <c r="N86" s="255" t="s">
        <v>11861</v>
      </c>
    </row>
    <row r="87" spans="1:14" ht="26.4">
      <c r="A87" s="230">
        <v>86</v>
      </c>
      <c r="B87" s="251" t="s">
        <v>5413</v>
      </c>
      <c r="C87" s="251" t="s">
        <v>11862</v>
      </c>
      <c r="D87" s="252">
        <v>9781799835325</v>
      </c>
      <c r="E87" s="252">
        <v>9781799835318</v>
      </c>
      <c r="F87" s="253" t="s">
        <v>11863</v>
      </c>
      <c r="G87" s="254">
        <v>1</v>
      </c>
      <c r="H87" s="254">
        <v>1</v>
      </c>
      <c r="I87" s="251" t="s">
        <v>8899</v>
      </c>
      <c r="J87" s="251" t="s">
        <v>561</v>
      </c>
      <c r="K87" s="254">
        <v>2020</v>
      </c>
      <c r="L87" s="251" t="s">
        <v>11619</v>
      </c>
      <c r="M87" s="251"/>
      <c r="N87" s="255" t="s">
        <v>11864</v>
      </c>
    </row>
    <row r="88" spans="1:14">
      <c r="A88" s="230">
        <v>87</v>
      </c>
      <c r="B88" s="251" t="s">
        <v>5413</v>
      </c>
      <c r="C88" s="251" t="s">
        <v>11865</v>
      </c>
      <c r="D88" s="252">
        <v>9781799830931</v>
      </c>
      <c r="E88" s="252">
        <v>9781799830924</v>
      </c>
      <c r="F88" s="253" t="s">
        <v>11866</v>
      </c>
      <c r="G88" s="254">
        <v>1</v>
      </c>
      <c r="H88" s="254">
        <v>1</v>
      </c>
      <c r="I88" s="251" t="s">
        <v>11867</v>
      </c>
      <c r="J88" s="251" t="s">
        <v>561</v>
      </c>
      <c r="K88" s="254">
        <v>2021</v>
      </c>
      <c r="L88" s="251" t="s">
        <v>11619</v>
      </c>
      <c r="M88" s="251"/>
      <c r="N88" s="255" t="s">
        <v>11868</v>
      </c>
    </row>
    <row r="89" spans="1:14" ht="26.4">
      <c r="A89" s="230">
        <v>88</v>
      </c>
      <c r="B89" s="251" t="s">
        <v>5413</v>
      </c>
      <c r="C89" s="251" t="s">
        <v>11869</v>
      </c>
      <c r="D89" s="252">
        <v>9781799844129</v>
      </c>
      <c r="E89" s="252">
        <v>9781799844112</v>
      </c>
      <c r="F89" s="253" t="s">
        <v>11870</v>
      </c>
      <c r="G89" s="254">
        <v>1</v>
      </c>
      <c r="H89" s="254">
        <v>1</v>
      </c>
      <c r="I89" s="251" t="s">
        <v>11871</v>
      </c>
      <c r="J89" s="251" t="s">
        <v>561</v>
      </c>
      <c r="K89" s="254">
        <v>2021</v>
      </c>
      <c r="L89" s="251" t="s">
        <v>11619</v>
      </c>
      <c r="M89" s="251"/>
      <c r="N89" s="255" t="s">
        <v>11872</v>
      </c>
    </row>
    <row r="90" spans="1:14" ht="26.4">
      <c r="A90" s="230">
        <v>89</v>
      </c>
      <c r="B90" s="251" t="s">
        <v>5413</v>
      </c>
      <c r="C90" s="251" t="s">
        <v>11865</v>
      </c>
      <c r="D90" s="252">
        <v>9781799874317</v>
      </c>
      <c r="E90" s="252">
        <v>9781799874300</v>
      </c>
      <c r="F90" s="253" t="s">
        <v>11873</v>
      </c>
      <c r="G90" s="254">
        <v>1</v>
      </c>
      <c r="H90" s="254">
        <v>1</v>
      </c>
      <c r="I90" s="251" t="s">
        <v>11874</v>
      </c>
      <c r="J90" s="251" t="s">
        <v>561</v>
      </c>
      <c r="K90" s="254">
        <v>2022</v>
      </c>
      <c r="L90" s="251" t="s">
        <v>11619</v>
      </c>
      <c r="M90" s="251"/>
      <c r="N90" s="255" t="s">
        <v>11875</v>
      </c>
    </row>
    <row r="91" spans="1:14" ht="26.4">
      <c r="A91" s="230">
        <v>90</v>
      </c>
      <c r="B91" s="251" t="s">
        <v>5413</v>
      </c>
      <c r="C91" s="251" t="s">
        <v>11865</v>
      </c>
      <c r="D91" s="252">
        <v>9781668444078</v>
      </c>
      <c r="E91" s="252">
        <v>9781668444054</v>
      </c>
      <c r="F91" s="253" t="s">
        <v>11876</v>
      </c>
      <c r="G91" s="254">
        <v>1</v>
      </c>
      <c r="H91" s="254">
        <v>1</v>
      </c>
      <c r="I91" s="251" t="s">
        <v>11329</v>
      </c>
      <c r="J91" s="251" t="s">
        <v>561</v>
      </c>
      <c r="K91" s="254">
        <v>2022</v>
      </c>
      <c r="L91" s="251" t="s">
        <v>11619</v>
      </c>
      <c r="M91" s="251"/>
      <c r="N91" s="255" t="s">
        <v>11877</v>
      </c>
    </row>
    <row r="92" spans="1:14" ht="26.4">
      <c r="A92" s="230">
        <v>91</v>
      </c>
      <c r="B92" s="251" t="s">
        <v>5413</v>
      </c>
      <c r="C92" s="251" t="s">
        <v>11865</v>
      </c>
      <c r="D92" s="252">
        <v>9781668475621</v>
      </c>
      <c r="E92" s="252">
        <v>9781668475614</v>
      </c>
      <c r="F92" s="253" t="s">
        <v>11878</v>
      </c>
      <c r="G92" s="254">
        <v>1</v>
      </c>
      <c r="H92" s="254">
        <v>1</v>
      </c>
      <c r="I92" s="251" t="s">
        <v>11879</v>
      </c>
      <c r="J92" s="251" t="s">
        <v>561</v>
      </c>
      <c r="K92" s="254">
        <v>2023</v>
      </c>
      <c r="L92" s="251" t="s">
        <v>11619</v>
      </c>
      <c r="M92" s="251"/>
      <c r="N92" s="255" t="s">
        <v>11880</v>
      </c>
    </row>
    <row r="93" spans="1:14" ht="26.4">
      <c r="A93" s="230">
        <v>92</v>
      </c>
      <c r="B93" s="251" t="s">
        <v>5413</v>
      </c>
      <c r="C93" s="251" t="s">
        <v>11881</v>
      </c>
      <c r="D93" s="252">
        <v>9781668451571</v>
      </c>
      <c r="E93" s="252">
        <v>9781668451564</v>
      </c>
      <c r="F93" s="253" t="s">
        <v>11882</v>
      </c>
      <c r="G93" s="254">
        <v>1</v>
      </c>
      <c r="H93" s="254">
        <v>1</v>
      </c>
      <c r="I93" s="251" t="s">
        <v>11883</v>
      </c>
      <c r="J93" s="251" t="s">
        <v>561</v>
      </c>
      <c r="K93" s="254">
        <v>2023</v>
      </c>
      <c r="L93" s="251" t="s">
        <v>11619</v>
      </c>
      <c r="M93" s="251"/>
      <c r="N93" s="255" t="s">
        <v>11884</v>
      </c>
    </row>
    <row r="94" spans="1:14">
      <c r="A94" s="230">
        <v>93</v>
      </c>
      <c r="B94" s="251" t="s">
        <v>5413</v>
      </c>
      <c r="C94" s="251" t="s">
        <v>11885</v>
      </c>
      <c r="D94" s="252">
        <v>9798369307052</v>
      </c>
      <c r="E94" s="252">
        <v>9798369307038</v>
      </c>
      <c r="F94" s="253" t="s">
        <v>11886</v>
      </c>
      <c r="G94" s="254">
        <v>1</v>
      </c>
      <c r="H94" s="254">
        <v>1</v>
      </c>
      <c r="I94" s="251" t="s">
        <v>11887</v>
      </c>
      <c r="J94" s="251" t="s">
        <v>561</v>
      </c>
      <c r="K94" s="254">
        <v>2023</v>
      </c>
      <c r="L94" s="251" t="s">
        <v>11619</v>
      </c>
      <c r="M94" s="251"/>
      <c r="N94" s="255" t="s">
        <v>11888</v>
      </c>
    </row>
    <row r="95" spans="1:14" ht="26.4">
      <c r="A95" s="230">
        <v>94</v>
      </c>
      <c r="B95" s="251" t="s">
        <v>5413</v>
      </c>
      <c r="C95" s="251" t="s">
        <v>11865</v>
      </c>
      <c r="D95" s="252">
        <v>9798369308776</v>
      </c>
      <c r="E95" s="252">
        <v>9798369308769</v>
      </c>
      <c r="F95" s="253" t="s">
        <v>11889</v>
      </c>
      <c r="G95" s="254">
        <v>1</v>
      </c>
      <c r="H95" s="254">
        <v>1</v>
      </c>
      <c r="I95" s="251" t="s">
        <v>11890</v>
      </c>
      <c r="J95" s="251" t="s">
        <v>1233</v>
      </c>
      <c r="K95" s="254">
        <v>2023</v>
      </c>
      <c r="L95" s="251" t="s">
        <v>11619</v>
      </c>
      <c r="M95" s="251"/>
      <c r="N95" s="255" t="s">
        <v>11891</v>
      </c>
    </row>
    <row r="96" spans="1:14" ht="26.4">
      <c r="A96" s="230">
        <v>95</v>
      </c>
      <c r="B96" s="251" t="s">
        <v>5413</v>
      </c>
      <c r="C96" s="251" t="s">
        <v>11865</v>
      </c>
      <c r="D96" s="252">
        <v>9781668489390</v>
      </c>
      <c r="E96" s="252">
        <v>9781668489383</v>
      </c>
      <c r="F96" s="253" t="s">
        <v>11892</v>
      </c>
      <c r="G96" s="254">
        <v>1</v>
      </c>
      <c r="H96" s="254">
        <v>1</v>
      </c>
      <c r="I96" s="251" t="s">
        <v>11893</v>
      </c>
      <c r="J96" s="251" t="s">
        <v>561</v>
      </c>
      <c r="K96" s="254">
        <v>2023</v>
      </c>
      <c r="L96" s="251" t="s">
        <v>11619</v>
      </c>
      <c r="M96" s="251"/>
      <c r="N96" s="255" t="s">
        <v>11894</v>
      </c>
    </row>
    <row r="97" spans="1:14" ht="26.4">
      <c r="A97" s="230">
        <v>96</v>
      </c>
      <c r="B97" s="251" t="s">
        <v>5413</v>
      </c>
      <c r="C97" s="251" t="s">
        <v>11895</v>
      </c>
      <c r="D97" s="252">
        <v>9781668499849</v>
      </c>
      <c r="E97" s="252">
        <v>9781668499832</v>
      </c>
      <c r="F97" s="253" t="s">
        <v>11896</v>
      </c>
      <c r="G97" s="254">
        <v>1</v>
      </c>
      <c r="H97" s="254">
        <v>1</v>
      </c>
      <c r="I97" s="251" t="s">
        <v>10303</v>
      </c>
      <c r="J97" s="251" t="s">
        <v>561</v>
      </c>
      <c r="K97" s="254">
        <v>2024</v>
      </c>
      <c r="L97" s="251" t="s">
        <v>11619</v>
      </c>
      <c r="M97" s="251"/>
      <c r="N97" s="255" t="s">
        <v>11897</v>
      </c>
    </row>
    <row r="98" spans="1:14" ht="26.4">
      <c r="A98" s="230">
        <v>97</v>
      </c>
      <c r="B98" s="251" t="s">
        <v>5413</v>
      </c>
      <c r="C98" s="251" t="s">
        <v>11865</v>
      </c>
      <c r="D98" s="252">
        <v>9798369326404</v>
      </c>
      <c r="E98" s="252">
        <v>9798369326398</v>
      </c>
      <c r="F98" s="253" t="s">
        <v>11898</v>
      </c>
      <c r="G98" s="254">
        <v>1</v>
      </c>
      <c r="H98" s="254">
        <v>1</v>
      </c>
      <c r="I98" s="251" t="s">
        <v>11720</v>
      </c>
      <c r="J98" s="251" t="s">
        <v>561</v>
      </c>
      <c r="K98" s="254">
        <v>2024</v>
      </c>
      <c r="L98" s="251" t="s">
        <v>11619</v>
      </c>
      <c r="M98" s="251"/>
      <c r="N98" s="255" t="s">
        <v>11899</v>
      </c>
    </row>
    <row r="99" spans="1:14" ht="39.6">
      <c r="A99" s="230">
        <v>98</v>
      </c>
      <c r="B99" s="251" t="s">
        <v>5413</v>
      </c>
      <c r="C99" s="251" t="s">
        <v>11865</v>
      </c>
      <c r="D99" s="252">
        <v>9781668492529</v>
      </c>
      <c r="E99" s="252">
        <v>9781668492512</v>
      </c>
      <c r="F99" s="253" t="s">
        <v>11900</v>
      </c>
      <c r="G99" s="254">
        <v>1</v>
      </c>
      <c r="H99" s="254">
        <v>1</v>
      </c>
      <c r="I99" s="251" t="s">
        <v>11901</v>
      </c>
      <c r="J99" s="251" t="s">
        <v>561</v>
      </c>
      <c r="K99" s="254">
        <v>2024</v>
      </c>
      <c r="L99" s="251" t="s">
        <v>11619</v>
      </c>
      <c r="M99" s="251"/>
      <c r="N99" s="255" t="s">
        <v>11902</v>
      </c>
    </row>
    <row r="100" spans="1:14">
      <c r="A100" s="230">
        <v>99</v>
      </c>
      <c r="B100" s="251" t="s">
        <v>5413</v>
      </c>
      <c r="C100" s="251" t="s">
        <v>11865</v>
      </c>
      <c r="D100" s="252">
        <v>9798369310830</v>
      </c>
      <c r="E100" s="252">
        <v>9798369310823</v>
      </c>
      <c r="F100" s="253" t="s">
        <v>11903</v>
      </c>
      <c r="G100" s="254">
        <v>1</v>
      </c>
      <c r="H100" s="254">
        <v>1</v>
      </c>
      <c r="I100" s="251" t="s">
        <v>11720</v>
      </c>
      <c r="J100" s="251" t="s">
        <v>561</v>
      </c>
      <c r="K100" s="254">
        <v>2024</v>
      </c>
      <c r="L100" s="251" t="s">
        <v>11619</v>
      </c>
      <c r="M100" s="251"/>
      <c r="N100" s="255" t="s">
        <v>11904</v>
      </c>
    </row>
    <row r="101" spans="1:14">
      <c r="A101" s="230">
        <v>100</v>
      </c>
      <c r="B101" s="251" t="s">
        <v>5413</v>
      </c>
      <c r="C101" s="251" t="s">
        <v>11881</v>
      </c>
      <c r="D101" s="252">
        <v>9798369310915</v>
      </c>
      <c r="E101" s="252">
        <v>9798369310908</v>
      </c>
      <c r="F101" s="253" t="s">
        <v>11905</v>
      </c>
      <c r="G101" s="254">
        <v>1</v>
      </c>
      <c r="H101" s="254">
        <v>1</v>
      </c>
      <c r="I101" s="251" t="s">
        <v>11906</v>
      </c>
      <c r="J101" s="251" t="s">
        <v>561</v>
      </c>
      <c r="K101" s="254">
        <v>2024</v>
      </c>
      <c r="L101" s="251" t="s">
        <v>11619</v>
      </c>
      <c r="M101" s="251"/>
      <c r="N101" s="255" t="s">
        <v>11907</v>
      </c>
    </row>
    <row r="102" spans="1:14" ht="26.4">
      <c r="A102" s="230">
        <v>101</v>
      </c>
      <c r="B102" s="251" t="s">
        <v>5413</v>
      </c>
      <c r="C102" s="251" t="s">
        <v>11881</v>
      </c>
      <c r="D102" s="252">
        <v>9798369311165</v>
      </c>
      <c r="E102" s="252">
        <v>9798369311158</v>
      </c>
      <c r="F102" s="253" t="s">
        <v>11908</v>
      </c>
      <c r="G102" s="254">
        <v>1</v>
      </c>
      <c r="H102" s="254">
        <v>1</v>
      </c>
      <c r="I102" s="251" t="s">
        <v>11909</v>
      </c>
      <c r="J102" s="251" t="s">
        <v>561</v>
      </c>
      <c r="K102" s="254">
        <v>2024</v>
      </c>
      <c r="L102" s="251" t="s">
        <v>11619</v>
      </c>
      <c r="M102" s="251"/>
      <c r="N102" s="255" t="s">
        <v>11910</v>
      </c>
    </row>
    <row r="103" spans="1:14" ht="26.4">
      <c r="A103" s="230">
        <v>102</v>
      </c>
      <c r="B103" s="251" t="s">
        <v>5413</v>
      </c>
      <c r="C103" s="251" t="s">
        <v>11881</v>
      </c>
      <c r="D103" s="252">
        <v>9798369312827</v>
      </c>
      <c r="E103" s="252">
        <v>9798369312810</v>
      </c>
      <c r="F103" s="253" t="s">
        <v>11911</v>
      </c>
      <c r="G103" s="254">
        <v>1</v>
      </c>
      <c r="H103" s="254">
        <v>1</v>
      </c>
      <c r="I103" s="251" t="s">
        <v>11912</v>
      </c>
      <c r="J103" s="251" t="s">
        <v>561</v>
      </c>
      <c r="K103" s="254">
        <v>2024</v>
      </c>
      <c r="L103" s="251" t="s">
        <v>11619</v>
      </c>
      <c r="M103" s="251"/>
      <c r="N103" s="255" t="s">
        <v>11913</v>
      </c>
    </row>
    <row r="104" spans="1:14" ht="26.4">
      <c r="A104" s="230">
        <v>103</v>
      </c>
      <c r="B104" s="251" t="s">
        <v>5413</v>
      </c>
      <c r="C104" s="251" t="s">
        <v>11865</v>
      </c>
      <c r="D104" s="252">
        <v>9798369314807</v>
      </c>
      <c r="E104" s="252">
        <v>9798369314791</v>
      </c>
      <c r="F104" s="253" t="s">
        <v>11914</v>
      </c>
      <c r="G104" s="254">
        <v>1</v>
      </c>
      <c r="H104" s="254">
        <v>1</v>
      </c>
      <c r="I104" s="251" t="s">
        <v>11915</v>
      </c>
      <c r="J104" s="251" t="s">
        <v>561</v>
      </c>
      <c r="K104" s="254">
        <v>2024</v>
      </c>
      <c r="L104" s="251" t="s">
        <v>11619</v>
      </c>
      <c r="M104" s="251"/>
      <c r="N104" s="255" t="s">
        <v>11916</v>
      </c>
    </row>
    <row r="105" spans="1:14" ht="26.4">
      <c r="A105" s="230">
        <v>104</v>
      </c>
      <c r="B105" s="251" t="s">
        <v>5413</v>
      </c>
      <c r="C105" s="251" t="s">
        <v>11865</v>
      </c>
      <c r="D105" s="252">
        <v>9798369318232</v>
      </c>
      <c r="E105" s="252">
        <v>9798369318225</v>
      </c>
      <c r="F105" s="253" t="s">
        <v>11917</v>
      </c>
      <c r="G105" s="254">
        <v>1</v>
      </c>
      <c r="H105" s="254">
        <v>1</v>
      </c>
      <c r="I105" s="251" t="s">
        <v>11918</v>
      </c>
      <c r="J105" s="251" t="s">
        <v>561</v>
      </c>
      <c r="K105" s="254">
        <v>2024</v>
      </c>
      <c r="L105" s="251" t="s">
        <v>11619</v>
      </c>
      <c r="M105" s="251"/>
      <c r="N105" s="255" t="s">
        <v>11919</v>
      </c>
    </row>
    <row r="106" spans="1:14" ht="26.4">
      <c r="A106" s="230">
        <v>105</v>
      </c>
      <c r="B106" s="251" t="s">
        <v>5413</v>
      </c>
      <c r="C106" s="251" t="s">
        <v>11920</v>
      </c>
      <c r="D106" s="252">
        <v>9798369316474</v>
      </c>
      <c r="E106" s="252">
        <v>9798369316467</v>
      </c>
      <c r="F106" s="253" t="s">
        <v>11921</v>
      </c>
      <c r="G106" s="254">
        <v>1</v>
      </c>
      <c r="H106" s="254">
        <v>1</v>
      </c>
      <c r="I106" s="251" t="s">
        <v>11922</v>
      </c>
      <c r="J106" s="251" t="s">
        <v>561</v>
      </c>
      <c r="K106" s="254">
        <v>2024</v>
      </c>
      <c r="L106" s="251" t="s">
        <v>11619</v>
      </c>
      <c r="M106" s="251"/>
      <c r="N106" s="255" t="s">
        <v>11923</v>
      </c>
    </row>
    <row r="107" spans="1:14" ht="26.4">
      <c r="A107" s="230">
        <v>106</v>
      </c>
      <c r="B107" s="251" t="s">
        <v>5413</v>
      </c>
      <c r="C107" s="251" t="s">
        <v>11865</v>
      </c>
      <c r="D107" s="252">
        <v>9798369319239</v>
      </c>
      <c r="E107" s="252">
        <v>9798369319222</v>
      </c>
      <c r="F107" s="253" t="s">
        <v>11924</v>
      </c>
      <c r="G107" s="254">
        <v>1</v>
      </c>
      <c r="H107" s="254">
        <v>1</v>
      </c>
      <c r="I107" s="251" t="s">
        <v>11925</v>
      </c>
      <c r="J107" s="251" t="s">
        <v>561</v>
      </c>
      <c r="K107" s="254">
        <v>2024</v>
      </c>
      <c r="L107" s="251" t="s">
        <v>11619</v>
      </c>
      <c r="M107" s="251"/>
      <c r="N107" s="255" t="s">
        <v>11926</v>
      </c>
    </row>
    <row r="108" spans="1:14">
      <c r="A108" s="230">
        <v>107</v>
      </c>
      <c r="B108" s="251" t="s">
        <v>5413</v>
      </c>
      <c r="C108" s="251" t="s">
        <v>11865</v>
      </c>
      <c r="D108" s="252">
        <v>9798369322390</v>
      </c>
      <c r="E108" s="252">
        <v>9798369322383</v>
      </c>
      <c r="F108" s="253" t="s">
        <v>11927</v>
      </c>
      <c r="G108" s="254">
        <v>1</v>
      </c>
      <c r="H108" s="254">
        <v>1</v>
      </c>
      <c r="I108" s="251" t="s">
        <v>11928</v>
      </c>
      <c r="J108" s="251" t="s">
        <v>561</v>
      </c>
      <c r="K108" s="254">
        <v>2024</v>
      </c>
      <c r="L108" s="251" t="s">
        <v>11619</v>
      </c>
      <c r="M108" s="251"/>
      <c r="N108" s="255" t="s">
        <v>11929</v>
      </c>
    </row>
    <row r="109" spans="1:14" ht="26.4">
      <c r="A109" s="230">
        <v>108</v>
      </c>
      <c r="B109" s="251" t="s">
        <v>5413</v>
      </c>
      <c r="C109" s="251" t="s">
        <v>11865</v>
      </c>
      <c r="D109" s="252">
        <v>9798369321065</v>
      </c>
      <c r="E109" s="252">
        <v>9798369321058</v>
      </c>
      <c r="F109" s="253" t="s">
        <v>11930</v>
      </c>
      <c r="G109" s="254">
        <v>1</v>
      </c>
      <c r="H109" s="254">
        <v>1</v>
      </c>
      <c r="I109" s="251" t="s">
        <v>11890</v>
      </c>
      <c r="J109" s="251" t="s">
        <v>561</v>
      </c>
      <c r="K109" s="254">
        <v>2024</v>
      </c>
      <c r="L109" s="251" t="s">
        <v>11619</v>
      </c>
      <c r="M109" s="251"/>
      <c r="N109" s="255" t="s">
        <v>11931</v>
      </c>
    </row>
    <row r="110" spans="1:14">
      <c r="A110" s="230">
        <v>109</v>
      </c>
      <c r="B110" s="251" t="s">
        <v>5413</v>
      </c>
      <c r="C110" s="251" t="s">
        <v>11865</v>
      </c>
      <c r="D110" s="252">
        <v>9798369323601</v>
      </c>
      <c r="E110" s="252">
        <v>9798369323595</v>
      </c>
      <c r="F110" s="253" t="s">
        <v>11932</v>
      </c>
      <c r="G110" s="254">
        <v>1</v>
      </c>
      <c r="H110" s="254">
        <v>1</v>
      </c>
      <c r="I110" s="251" t="s">
        <v>11933</v>
      </c>
      <c r="J110" s="251" t="s">
        <v>561</v>
      </c>
      <c r="K110" s="254">
        <v>2024</v>
      </c>
      <c r="L110" s="251" t="s">
        <v>11619</v>
      </c>
      <c r="M110" s="251"/>
      <c r="N110" s="255" t="s">
        <v>11934</v>
      </c>
    </row>
    <row r="111" spans="1:14" ht="26.4">
      <c r="A111" s="230">
        <v>110</v>
      </c>
      <c r="B111" s="251" t="s">
        <v>5413</v>
      </c>
      <c r="C111" s="251" t="s">
        <v>11865</v>
      </c>
      <c r="D111" s="252">
        <v>9798369321423</v>
      </c>
      <c r="E111" s="252">
        <v>9798369321416</v>
      </c>
      <c r="F111" s="253" t="s">
        <v>11935</v>
      </c>
      <c r="G111" s="254">
        <v>1</v>
      </c>
      <c r="H111" s="254">
        <v>1</v>
      </c>
      <c r="I111" s="251" t="s">
        <v>11936</v>
      </c>
      <c r="J111" s="251" t="s">
        <v>561</v>
      </c>
      <c r="K111" s="254">
        <v>2024</v>
      </c>
      <c r="L111" s="251" t="s">
        <v>11619</v>
      </c>
      <c r="M111" s="251"/>
      <c r="N111" s="255" t="s">
        <v>11937</v>
      </c>
    </row>
    <row r="112" spans="1:14" ht="26.4">
      <c r="A112" s="230">
        <v>111</v>
      </c>
      <c r="B112" s="251" t="s">
        <v>571</v>
      </c>
      <c r="C112" s="251" t="s">
        <v>11938</v>
      </c>
      <c r="D112" s="252">
        <v>9781522559887</v>
      </c>
      <c r="E112" s="252">
        <v>9781522559870</v>
      </c>
      <c r="F112" s="253" t="s">
        <v>11939</v>
      </c>
      <c r="G112" s="254">
        <v>1</v>
      </c>
      <c r="H112" s="254">
        <v>1</v>
      </c>
      <c r="I112" s="251" t="s">
        <v>8169</v>
      </c>
      <c r="J112" s="251" t="s">
        <v>1233</v>
      </c>
      <c r="K112" s="254">
        <v>2019</v>
      </c>
      <c r="L112" s="251" t="s">
        <v>11619</v>
      </c>
      <c r="M112" s="251"/>
      <c r="N112" s="255" t="s">
        <v>11940</v>
      </c>
    </row>
    <row r="113" spans="1:14" ht="26.4">
      <c r="A113" s="230">
        <v>112</v>
      </c>
      <c r="B113" s="251" t="s">
        <v>571</v>
      </c>
      <c r="C113" s="251" t="s">
        <v>11941</v>
      </c>
      <c r="D113" s="252">
        <v>9781799886877</v>
      </c>
      <c r="E113" s="252">
        <v>9781799886860</v>
      </c>
      <c r="F113" s="253" t="s">
        <v>11942</v>
      </c>
      <c r="G113" s="254">
        <v>1</v>
      </c>
      <c r="H113" s="254">
        <v>1</v>
      </c>
      <c r="I113" s="251" t="s">
        <v>1970</v>
      </c>
      <c r="J113" s="251" t="s">
        <v>1233</v>
      </c>
      <c r="K113" s="254">
        <v>2022</v>
      </c>
      <c r="L113" s="251" t="s">
        <v>11619</v>
      </c>
      <c r="M113" s="251"/>
      <c r="N113" s="255" t="s">
        <v>11943</v>
      </c>
    </row>
    <row r="114" spans="1:14" ht="26.4">
      <c r="A114" s="230">
        <v>113</v>
      </c>
      <c r="B114" s="251" t="s">
        <v>571</v>
      </c>
      <c r="C114" s="251" t="s">
        <v>11941</v>
      </c>
      <c r="D114" s="252">
        <v>9781799894285</v>
      </c>
      <c r="E114" s="252">
        <v>9781799894261</v>
      </c>
      <c r="F114" s="253" t="s">
        <v>11944</v>
      </c>
      <c r="G114" s="254">
        <v>1</v>
      </c>
      <c r="H114" s="254">
        <v>1</v>
      </c>
      <c r="I114" s="251" t="s">
        <v>11945</v>
      </c>
      <c r="J114" s="251" t="s">
        <v>1233</v>
      </c>
      <c r="K114" s="254">
        <v>2022</v>
      </c>
      <c r="L114" s="251" t="s">
        <v>11619</v>
      </c>
      <c r="M114" s="251"/>
      <c r="N114" s="255" t="s">
        <v>11946</v>
      </c>
    </row>
    <row r="115" spans="1:14" ht="26.4">
      <c r="A115" s="230">
        <v>114</v>
      </c>
      <c r="B115" s="251" t="s">
        <v>571</v>
      </c>
      <c r="C115" s="251" t="s">
        <v>11941</v>
      </c>
      <c r="D115" s="252">
        <v>9781668450741</v>
      </c>
      <c r="E115" s="252">
        <v>9781668450727</v>
      </c>
      <c r="F115" s="253" t="s">
        <v>11947</v>
      </c>
      <c r="G115" s="254">
        <v>1</v>
      </c>
      <c r="H115" s="254">
        <v>1</v>
      </c>
      <c r="I115" s="251" t="s">
        <v>11948</v>
      </c>
      <c r="J115" s="251" t="s">
        <v>1233</v>
      </c>
      <c r="K115" s="254">
        <v>2022</v>
      </c>
      <c r="L115" s="251" t="s">
        <v>11619</v>
      </c>
      <c r="M115" s="251"/>
      <c r="N115" s="255" t="s">
        <v>11949</v>
      </c>
    </row>
    <row r="116" spans="1:14" ht="26.4">
      <c r="A116" s="230">
        <v>115</v>
      </c>
      <c r="B116" s="251" t="s">
        <v>571</v>
      </c>
      <c r="C116" s="251" t="s">
        <v>11950</v>
      </c>
      <c r="D116" s="252">
        <v>9781668440988</v>
      </c>
      <c r="E116" s="252">
        <v>9781668440964</v>
      </c>
      <c r="F116" s="253" t="s">
        <v>11951</v>
      </c>
      <c r="G116" s="254">
        <v>1</v>
      </c>
      <c r="H116" s="254">
        <v>1</v>
      </c>
      <c r="I116" s="251" t="s">
        <v>10547</v>
      </c>
      <c r="J116" s="251" t="s">
        <v>1233</v>
      </c>
      <c r="K116" s="254">
        <v>2023</v>
      </c>
      <c r="L116" s="251" t="s">
        <v>11619</v>
      </c>
      <c r="M116" s="251"/>
      <c r="N116" s="255" t="s">
        <v>11952</v>
      </c>
    </row>
    <row r="117" spans="1:14" ht="26.4">
      <c r="A117" s="230">
        <v>116</v>
      </c>
      <c r="B117" s="251" t="s">
        <v>571</v>
      </c>
      <c r="C117" s="251" t="s">
        <v>11941</v>
      </c>
      <c r="D117" s="252">
        <v>9781668444856</v>
      </c>
      <c r="E117" s="252">
        <v>9781668444832</v>
      </c>
      <c r="F117" s="253" t="s">
        <v>11953</v>
      </c>
      <c r="G117" s="254">
        <v>1</v>
      </c>
      <c r="H117" s="254">
        <v>1</v>
      </c>
      <c r="I117" s="251" t="s">
        <v>11954</v>
      </c>
      <c r="J117" s="251" t="s">
        <v>1233</v>
      </c>
      <c r="K117" s="254">
        <v>2023</v>
      </c>
      <c r="L117" s="251" t="s">
        <v>11619</v>
      </c>
      <c r="M117" s="251"/>
      <c r="N117" s="255" t="s">
        <v>11955</v>
      </c>
    </row>
    <row r="118" spans="1:14" ht="39.6">
      <c r="A118" s="230">
        <v>117</v>
      </c>
      <c r="B118" s="251" t="s">
        <v>571</v>
      </c>
      <c r="C118" s="251" t="s">
        <v>11956</v>
      </c>
      <c r="D118" s="252">
        <v>9781668488188</v>
      </c>
      <c r="E118" s="252">
        <v>9781668488164</v>
      </c>
      <c r="F118" s="253" t="s">
        <v>11957</v>
      </c>
      <c r="G118" s="254">
        <v>1</v>
      </c>
      <c r="H118" s="254">
        <v>1</v>
      </c>
      <c r="I118" s="251" t="s">
        <v>11487</v>
      </c>
      <c r="J118" s="251" t="s">
        <v>1233</v>
      </c>
      <c r="K118" s="254">
        <v>2023</v>
      </c>
      <c r="L118" s="251" t="s">
        <v>11619</v>
      </c>
      <c r="M118" s="251"/>
      <c r="N118" s="255" t="s">
        <v>11958</v>
      </c>
    </row>
    <row r="119" spans="1:14">
      <c r="A119" s="230">
        <v>118</v>
      </c>
      <c r="B119" s="251" t="s">
        <v>571</v>
      </c>
      <c r="C119" s="251" t="s">
        <v>11950</v>
      </c>
      <c r="D119" s="252">
        <v>9781668438350</v>
      </c>
      <c r="E119" s="252">
        <v>9781668438336</v>
      </c>
      <c r="F119" s="253" t="s">
        <v>11959</v>
      </c>
      <c r="G119" s="254">
        <v>1</v>
      </c>
      <c r="H119" s="254">
        <v>1</v>
      </c>
      <c r="I119" s="251" t="s">
        <v>11254</v>
      </c>
      <c r="J119" s="251" t="s">
        <v>1233</v>
      </c>
      <c r="K119" s="254">
        <v>2023</v>
      </c>
      <c r="L119" s="251" t="s">
        <v>11619</v>
      </c>
      <c r="M119" s="251"/>
      <c r="N119" s="255" t="s">
        <v>11960</v>
      </c>
    </row>
    <row r="120" spans="1:14" ht="26.4">
      <c r="A120" s="230">
        <v>119</v>
      </c>
      <c r="B120" s="251" t="s">
        <v>571</v>
      </c>
      <c r="C120" s="251" t="s">
        <v>11961</v>
      </c>
      <c r="D120" s="252">
        <v>9781668463680</v>
      </c>
      <c r="E120" s="252">
        <v>9781668463666</v>
      </c>
      <c r="F120" s="253" t="s">
        <v>11962</v>
      </c>
      <c r="G120" s="254">
        <v>1</v>
      </c>
      <c r="H120" s="254">
        <v>1</v>
      </c>
      <c r="I120" s="251" t="s">
        <v>5849</v>
      </c>
      <c r="J120" s="251" t="s">
        <v>1233</v>
      </c>
      <c r="K120" s="254">
        <v>2023</v>
      </c>
      <c r="L120" s="251" t="s">
        <v>11619</v>
      </c>
      <c r="M120" s="251"/>
      <c r="N120" s="255" t="s">
        <v>11963</v>
      </c>
    </row>
    <row r="121" spans="1:14" ht="26.4">
      <c r="A121" s="230">
        <v>120</v>
      </c>
      <c r="B121" s="251" t="s">
        <v>571</v>
      </c>
      <c r="C121" s="251" t="s">
        <v>11941</v>
      </c>
      <c r="D121" s="252">
        <v>9781668481004</v>
      </c>
      <c r="E121" s="252">
        <v>9781668480984</v>
      </c>
      <c r="F121" s="253" t="s">
        <v>11964</v>
      </c>
      <c r="G121" s="254">
        <v>1</v>
      </c>
      <c r="H121" s="254">
        <v>1</v>
      </c>
      <c r="I121" s="251" t="s">
        <v>7342</v>
      </c>
      <c r="J121" s="251" t="s">
        <v>1233</v>
      </c>
      <c r="K121" s="254">
        <v>2023</v>
      </c>
      <c r="L121" s="251" t="s">
        <v>11619</v>
      </c>
      <c r="M121" s="251"/>
      <c r="N121" s="255" t="s">
        <v>11965</v>
      </c>
    </row>
    <row r="122" spans="1:14" ht="39.6">
      <c r="A122" s="230">
        <v>121</v>
      </c>
      <c r="B122" s="251" t="s">
        <v>571</v>
      </c>
      <c r="C122" s="251" t="s">
        <v>11941</v>
      </c>
      <c r="D122" s="252">
        <v>9781668486368</v>
      </c>
      <c r="E122" s="252">
        <v>9781668486344</v>
      </c>
      <c r="F122" s="253" t="s">
        <v>11966</v>
      </c>
      <c r="G122" s="254">
        <v>1</v>
      </c>
      <c r="H122" s="254">
        <v>1</v>
      </c>
      <c r="I122" s="251" t="s">
        <v>11967</v>
      </c>
      <c r="J122" s="251" t="s">
        <v>1233</v>
      </c>
      <c r="K122" s="254">
        <v>2023</v>
      </c>
      <c r="L122" s="251" t="s">
        <v>11619</v>
      </c>
      <c r="M122" s="251"/>
      <c r="N122" s="255" t="s">
        <v>11968</v>
      </c>
    </row>
    <row r="123" spans="1:14" ht="26.4">
      <c r="A123" s="230">
        <v>122</v>
      </c>
      <c r="B123" s="251" t="s">
        <v>571</v>
      </c>
      <c r="C123" s="251" t="s">
        <v>11961</v>
      </c>
      <c r="D123" s="252">
        <v>9798369300459</v>
      </c>
      <c r="E123" s="252">
        <v>9798369300442</v>
      </c>
      <c r="F123" s="253" t="s">
        <v>11969</v>
      </c>
      <c r="G123" s="254">
        <v>1</v>
      </c>
      <c r="H123" s="254">
        <v>1</v>
      </c>
      <c r="I123" s="251" t="s">
        <v>7263</v>
      </c>
      <c r="J123" s="251" t="s">
        <v>1233</v>
      </c>
      <c r="K123" s="254">
        <v>2023</v>
      </c>
      <c r="L123" s="251" t="s">
        <v>11619</v>
      </c>
      <c r="M123" s="251"/>
      <c r="N123" s="255" t="s">
        <v>11970</v>
      </c>
    </row>
    <row r="124" spans="1:14" ht="26.4">
      <c r="A124" s="230">
        <v>123</v>
      </c>
      <c r="B124" s="251" t="s">
        <v>571</v>
      </c>
      <c r="C124" s="251" t="s">
        <v>11941</v>
      </c>
      <c r="D124" s="252">
        <v>9781668469729</v>
      </c>
      <c r="E124" s="252">
        <v>9781668469712</v>
      </c>
      <c r="F124" s="253" t="s">
        <v>11971</v>
      </c>
      <c r="G124" s="254">
        <v>1</v>
      </c>
      <c r="H124" s="254">
        <v>1</v>
      </c>
      <c r="I124" s="251" t="s">
        <v>5263</v>
      </c>
      <c r="J124" s="251" t="s">
        <v>1233</v>
      </c>
      <c r="K124" s="254">
        <v>2023</v>
      </c>
      <c r="L124" s="251" t="s">
        <v>11619</v>
      </c>
      <c r="M124" s="251"/>
      <c r="N124" s="255" t="s">
        <v>11972</v>
      </c>
    </row>
    <row r="125" spans="1:14" ht="26.4">
      <c r="A125" s="230">
        <v>124</v>
      </c>
      <c r="B125" s="251" t="s">
        <v>571</v>
      </c>
      <c r="C125" s="251" t="s">
        <v>11941</v>
      </c>
      <c r="D125" s="252">
        <v>9798369313022</v>
      </c>
      <c r="E125" s="252">
        <v>9798369313015</v>
      </c>
      <c r="F125" s="253" t="s">
        <v>11973</v>
      </c>
      <c r="G125" s="254">
        <v>1</v>
      </c>
      <c r="H125" s="254">
        <v>1</v>
      </c>
      <c r="I125" s="251" t="s">
        <v>11974</v>
      </c>
      <c r="J125" s="251" t="s">
        <v>1233</v>
      </c>
      <c r="K125" s="254">
        <v>2023</v>
      </c>
      <c r="L125" s="251" t="s">
        <v>11619</v>
      </c>
      <c r="M125" s="251"/>
      <c r="N125" s="255" t="s">
        <v>11975</v>
      </c>
    </row>
    <row r="126" spans="1:14" ht="26.4">
      <c r="A126" s="230">
        <v>125</v>
      </c>
      <c r="B126" s="251" t="s">
        <v>571</v>
      </c>
      <c r="C126" s="251" t="s">
        <v>11941</v>
      </c>
      <c r="D126" s="252">
        <v>9781668486986</v>
      </c>
      <c r="E126" s="252">
        <v>9781668486962</v>
      </c>
      <c r="F126" s="253" t="s">
        <v>11976</v>
      </c>
      <c r="G126" s="254">
        <v>1</v>
      </c>
      <c r="H126" s="254">
        <v>1</v>
      </c>
      <c r="I126" s="251" t="s">
        <v>11977</v>
      </c>
      <c r="J126" s="251" t="s">
        <v>1233</v>
      </c>
      <c r="K126" s="254">
        <v>2023</v>
      </c>
      <c r="L126" s="251" t="s">
        <v>11619</v>
      </c>
      <c r="M126" s="251"/>
      <c r="N126" s="255" t="s">
        <v>11978</v>
      </c>
    </row>
    <row r="127" spans="1:14" ht="26.4">
      <c r="A127" s="230">
        <v>126</v>
      </c>
      <c r="B127" s="251" t="s">
        <v>571</v>
      </c>
      <c r="C127" s="251" t="s">
        <v>11938</v>
      </c>
      <c r="D127" s="252">
        <v>9798369316399</v>
      </c>
      <c r="E127" s="252">
        <v>9798369316382</v>
      </c>
      <c r="F127" s="253" t="s">
        <v>11979</v>
      </c>
      <c r="G127" s="254">
        <v>1</v>
      </c>
      <c r="H127" s="254">
        <v>1</v>
      </c>
      <c r="I127" s="251" t="s">
        <v>7263</v>
      </c>
      <c r="J127" s="251" t="s">
        <v>1233</v>
      </c>
      <c r="K127" s="254">
        <v>2024</v>
      </c>
      <c r="L127" s="251" t="s">
        <v>11619</v>
      </c>
      <c r="M127" s="251"/>
      <c r="N127" s="255" t="s">
        <v>11980</v>
      </c>
    </row>
    <row r="128" spans="1:14" ht="26.4">
      <c r="A128" s="230">
        <v>127</v>
      </c>
      <c r="B128" s="251" t="s">
        <v>571</v>
      </c>
      <c r="C128" s="251" t="s">
        <v>11938</v>
      </c>
      <c r="D128" s="252">
        <v>9798369307953</v>
      </c>
      <c r="E128" s="252">
        <v>9798369307946</v>
      </c>
      <c r="F128" s="253" t="s">
        <v>11981</v>
      </c>
      <c r="G128" s="254">
        <v>1</v>
      </c>
      <c r="H128" s="254">
        <v>1</v>
      </c>
      <c r="I128" s="251" t="s">
        <v>10270</v>
      </c>
      <c r="J128" s="251" t="s">
        <v>1233</v>
      </c>
      <c r="K128" s="254">
        <v>2023</v>
      </c>
      <c r="L128" s="251" t="s">
        <v>11619</v>
      </c>
      <c r="M128" s="251"/>
      <c r="N128" s="255" t="s">
        <v>11982</v>
      </c>
    </row>
    <row r="129" spans="1:14" ht="26.4">
      <c r="A129" s="230">
        <v>128</v>
      </c>
      <c r="B129" s="251" t="s">
        <v>571</v>
      </c>
      <c r="C129" s="251" t="s">
        <v>11938</v>
      </c>
      <c r="D129" s="252">
        <v>9781668489659</v>
      </c>
      <c r="E129" s="252">
        <v>9781668489635</v>
      </c>
      <c r="F129" s="253" t="s">
        <v>11983</v>
      </c>
      <c r="G129" s="254">
        <v>1</v>
      </c>
      <c r="H129" s="254">
        <v>1</v>
      </c>
      <c r="I129" s="251" t="s">
        <v>11984</v>
      </c>
      <c r="J129" s="251" t="s">
        <v>1233</v>
      </c>
      <c r="K129" s="254">
        <v>2024</v>
      </c>
      <c r="L129" s="251" t="s">
        <v>11619</v>
      </c>
      <c r="M129" s="251"/>
      <c r="N129" s="255" t="s">
        <v>11985</v>
      </c>
    </row>
    <row r="130" spans="1:14">
      <c r="A130" s="230">
        <v>129</v>
      </c>
      <c r="B130" s="251" t="s">
        <v>571</v>
      </c>
      <c r="C130" s="251" t="s">
        <v>11941</v>
      </c>
      <c r="D130" s="252">
        <v>9798369303702</v>
      </c>
      <c r="E130" s="252">
        <v>9798369303689</v>
      </c>
      <c r="F130" s="253" t="s">
        <v>11986</v>
      </c>
      <c r="G130" s="254">
        <v>1</v>
      </c>
      <c r="H130" s="254">
        <v>1</v>
      </c>
      <c r="I130" s="251" t="s">
        <v>11987</v>
      </c>
      <c r="J130" s="251" t="s">
        <v>1233</v>
      </c>
      <c r="K130" s="254">
        <v>2024</v>
      </c>
      <c r="L130" s="251" t="s">
        <v>11619</v>
      </c>
      <c r="M130" s="251"/>
      <c r="N130" s="255" t="s">
        <v>11988</v>
      </c>
    </row>
    <row r="131" spans="1:14" ht="26.4">
      <c r="A131" s="230">
        <v>130</v>
      </c>
      <c r="B131" s="251" t="s">
        <v>571</v>
      </c>
      <c r="C131" s="251" t="s">
        <v>11989</v>
      </c>
      <c r="D131" s="252">
        <v>9798369304501</v>
      </c>
      <c r="E131" s="252">
        <v>9798369304488</v>
      </c>
      <c r="F131" s="253" t="s">
        <v>11990</v>
      </c>
      <c r="G131" s="254">
        <v>1</v>
      </c>
      <c r="H131" s="254">
        <v>1</v>
      </c>
      <c r="I131" s="251" t="s">
        <v>11925</v>
      </c>
      <c r="J131" s="251" t="s">
        <v>561</v>
      </c>
      <c r="K131" s="254">
        <v>2024</v>
      </c>
      <c r="L131" s="251" t="s">
        <v>11619</v>
      </c>
      <c r="M131" s="251"/>
      <c r="N131" s="255" t="s">
        <v>11991</v>
      </c>
    </row>
    <row r="132" spans="1:14" ht="26.4">
      <c r="A132" s="230">
        <v>131</v>
      </c>
      <c r="B132" s="251" t="s">
        <v>571</v>
      </c>
      <c r="C132" s="251" t="s">
        <v>11941</v>
      </c>
      <c r="D132" s="252">
        <v>9781668463635</v>
      </c>
      <c r="E132" s="252">
        <v>9781668463611</v>
      </c>
      <c r="F132" s="253" t="s">
        <v>11992</v>
      </c>
      <c r="G132" s="254">
        <v>1</v>
      </c>
      <c r="H132" s="254">
        <v>1</v>
      </c>
      <c r="I132" s="251" t="s">
        <v>11993</v>
      </c>
      <c r="J132" s="251" t="s">
        <v>1233</v>
      </c>
      <c r="K132" s="254">
        <v>2024</v>
      </c>
      <c r="L132" s="251" t="s">
        <v>11619</v>
      </c>
      <c r="M132" s="251"/>
      <c r="N132" s="255" t="s">
        <v>11994</v>
      </c>
    </row>
    <row r="133" spans="1:14" ht="26.4">
      <c r="A133" s="230">
        <v>132</v>
      </c>
      <c r="B133" s="251" t="s">
        <v>571</v>
      </c>
      <c r="C133" s="251" t="s">
        <v>11989</v>
      </c>
      <c r="D133" s="252">
        <v>9781668493878</v>
      </c>
      <c r="E133" s="252">
        <v>9781668493854</v>
      </c>
      <c r="F133" s="253" t="s">
        <v>11995</v>
      </c>
      <c r="G133" s="254">
        <v>1</v>
      </c>
      <c r="H133" s="254">
        <v>1</v>
      </c>
      <c r="I133" s="251" t="s">
        <v>11996</v>
      </c>
      <c r="J133" s="251" t="s">
        <v>1233</v>
      </c>
      <c r="K133" s="254">
        <v>2024</v>
      </c>
      <c r="L133" s="251" t="s">
        <v>11619</v>
      </c>
      <c r="M133" s="251"/>
      <c r="N133" s="255" t="s">
        <v>11997</v>
      </c>
    </row>
    <row r="134" spans="1:14" ht="39.6">
      <c r="A134" s="230">
        <v>133</v>
      </c>
      <c r="B134" s="251" t="s">
        <v>571</v>
      </c>
      <c r="C134" s="251" t="s">
        <v>11938</v>
      </c>
      <c r="D134" s="252">
        <v>9781668498644</v>
      </c>
      <c r="E134" s="252">
        <v>9781668498637</v>
      </c>
      <c r="F134" s="253" t="s">
        <v>11998</v>
      </c>
      <c r="G134" s="254">
        <v>1</v>
      </c>
      <c r="H134" s="254">
        <v>1</v>
      </c>
      <c r="I134" s="251" t="s">
        <v>11999</v>
      </c>
      <c r="J134" s="251" t="s">
        <v>1233</v>
      </c>
      <c r="K134" s="254">
        <v>2024</v>
      </c>
      <c r="L134" s="251" t="s">
        <v>11619</v>
      </c>
      <c r="M134" s="251"/>
      <c r="N134" s="255" t="s">
        <v>12000</v>
      </c>
    </row>
    <row r="135" spans="1:14" ht="26.4">
      <c r="A135" s="230">
        <v>134</v>
      </c>
      <c r="B135" s="251" t="s">
        <v>571</v>
      </c>
      <c r="C135" s="251" t="s">
        <v>12001</v>
      </c>
      <c r="D135" s="252">
        <v>9781668498408</v>
      </c>
      <c r="E135" s="252">
        <v>9781668498385</v>
      </c>
      <c r="F135" s="253" t="s">
        <v>12002</v>
      </c>
      <c r="G135" s="254">
        <v>1</v>
      </c>
      <c r="H135" s="254">
        <v>1</v>
      </c>
      <c r="I135" s="251" t="s">
        <v>8234</v>
      </c>
      <c r="J135" s="251" t="s">
        <v>1233</v>
      </c>
      <c r="K135" s="254">
        <v>2024</v>
      </c>
      <c r="L135" s="251" t="s">
        <v>11619</v>
      </c>
      <c r="M135" s="251"/>
      <c r="N135" s="255" t="s">
        <v>12003</v>
      </c>
    </row>
    <row r="136" spans="1:14" ht="26.4">
      <c r="A136" s="230">
        <v>135</v>
      </c>
      <c r="B136" s="251" t="s">
        <v>571</v>
      </c>
      <c r="C136" s="251" t="s">
        <v>11938</v>
      </c>
      <c r="D136" s="252">
        <v>9798369317235</v>
      </c>
      <c r="E136" s="252">
        <v>9798369317228</v>
      </c>
      <c r="F136" s="253" t="s">
        <v>12004</v>
      </c>
      <c r="G136" s="254">
        <v>1</v>
      </c>
      <c r="H136" s="254">
        <v>1</v>
      </c>
      <c r="I136" s="251" t="s">
        <v>11427</v>
      </c>
      <c r="J136" s="251" t="s">
        <v>1233</v>
      </c>
      <c r="K136" s="254">
        <v>2024</v>
      </c>
      <c r="L136" s="251" t="s">
        <v>11619</v>
      </c>
      <c r="M136" s="251"/>
      <c r="N136" s="255" t="s">
        <v>12005</v>
      </c>
    </row>
    <row r="137" spans="1:14" ht="26.4">
      <c r="A137" s="230">
        <v>136</v>
      </c>
      <c r="B137" s="251" t="s">
        <v>571</v>
      </c>
      <c r="C137" s="251" t="s">
        <v>11941</v>
      </c>
      <c r="D137" s="252">
        <v>9798369311950</v>
      </c>
      <c r="E137" s="252">
        <v>9798369311943</v>
      </c>
      <c r="F137" s="253" t="s">
        <v>12006</v>
      </c>
      <c r="G137" s="254">
        <v>1</v>
      </c>
      <c r="H137" s="254">
        <v>1</v>
      </c>
      <c r="I137" s="251" t="s">
        <v>11909</v>
      </c>
      <c r="J137" s="251" t="s">
        <v>1233</v>
      </c>
      <c r="K137" s="254">
        <v>2024</v>
      </c>
      <c r="L137" s="251" t="s">
        <v>11619</v>
      </c>
      <c r="M137" s="251"/>
      <c r="N137" s="255" t="s">
        <v>12007</v>
      </c>
    </row>
    <row r="138" spans="1:14" ht="26.4">
      <c r="A138" s="230">
        <v>137</v>
      </c>
      <c r="B138" s="251" t="s">
        <v>571</v>
      </c>
      <c r="C138" s="251" t="s">
        <v>11941</v>
      </c>
      <c r="D138" s="252">
        <v>9798369300008</v>
      </c>
      <c r="E138" s="252">
        <v>9781668499993</v>
      </c>
      <c r="F138" s="253" t="s">
        <v>12008</v>
      </c>
      <c r="G138" s="254">
        <v>1</v>
      </c>
      <c r="H138" s="254">
        <v>1</v>
      </c>
      <c r="I138" s="251" t="s">
        <v>10676</v>
      </c>
      <c r="J138" s="251" t="s">
        <v>1233</v>
      </c>
      <c r="K138" s="254">
        <v>2024</v>
      </c>
      <c r="L138" s="251" t="s">
        <v>11619</v>
      </c>
      <c r="M138" s="251"/>
      <c r="N138" s="255" t="s">
        <v>12009</v>
      </c>
    </row>
    <row r="139" spans="1:14">
      <c r="A139" s="230">
        <v>138</v>
      </c>
      <c r="B139" s="251" t="s">
        <v>571</v>
      </c>
      <c r="C139" s="251" t="s">
        <v>11941</v>
      </c>
      <c r="D139" s="252">
        <v>9798369326800</v>
      </c>
      <c r="E139" s="252">
        <v>9798369326794</v>
      </c>
      <c r="F139" s="253" t="s">
        <v>12010</v>
      </c>
      <c r="G139" s="254">
        <v>1</v>
      </c>
      <c r="H139" s="254">
        <v>1</v>
      </c>
      <c r="I139" s="251" t="s">
        <v>11830</v>
      </c>
      <c r="J139" s="251" t="s">
        <v>1233</v>
      </c>
      <c r="K139" s="254">
        <v>2024</v>
      </c>
      <c r="L139" s="251" t="s">
        <v>11619</v>
      </c>
      <c r="M139" s="251"/>
      <c r="N139" s="255" t="s">
        <v>12011</v>
      </c>
    </row>
    <row r="140" spans="1:14" ht="26.4">
      <c r="A140" s="230">
        <v>139</v>
      </c>
      <c r="B140" s="251" t="s">
        <v>571</v>
      </c>
      <c r="C140" s="251" t="s">
        <v>11941</v>
      </c>
      <c r="D140" s="252">
        <v>9781668482308</v>
      </c>
      <c r="E140" s="252">
        <v>9781668482285</v>
      </c>
      <c r="F140" s="253" t="s">
        <v>12012</v>
      </c>
      <c r="G140" s="254">
        <v>1</v>
      </c>
      <c r="H140" s="254">
        <v>1</v>
      </c>
      <c r="I140" s="251" t="s">
        <v>12013</v>
      </c>
      <c r="J140" s="251" t="s">
        <v>1233</v>
      </c>
      <c r="K140" s="254">
        <v>2024</v>
      </c>
      <c r="L140" s="251" t="s">
        <v>11619</v>
      </c>
      <c r="M140" s="251"/>
      <c r="N140" s="255" t="s">
        <v>12014</v>
      </c>
    </row>
    <row r="141" spans="1:14" ht="26.4">
      <c r="A141" s="230">
        <v>140</v>
      </c>
      <c r="B141" s="251" t="s">
        <v>571</v>
      </c>
      <c r="C141" s="251" t="s">
        <v>11961</v>
      </c>
      <c r="D141" s="252">
        <v>9781668491324</v>
      </c>
      <c r="E141" s="252">
        <v>9781668491300</v>
      </c>
      <c r="F141" s="253" t="s">
        <v>12015</v>
      </c>
      <c r="G141" s="254">
        <v>1</v>
      </c>
      <c r="H141" s="254">
        <v>1</v>
      </c>
      <c r="I141" s="251" t="s">
        <v>12016</v>
      </c>
      <c r="J141" s="251" t="s">
        <v>1233</v>
      </c>
      <c r="K141" s="254">
        <v>2024</v>
      </c>
      <c r="L141" s="251" t="s">
        <v>11619</v>
      </c>
      <c r="M141" s="251"/>
      <c r="N141" s="255" t="s">
        <v>12017</v>
      </c>
    </row>
    <row r="142" spans="1:14" ht="26.4">
      <c r="A142" s="230">
        <v>141</v>
      </c>
      <c r="B142" s="251" t="s">
        <v>571</v>
      </c>
      <c r="C142" s="251" t="s">
        <v>11941</v>
      </c>
      <c r="D142" s="252">
        <v>9798369304990</v>
      </c>
      <c r="E142" s="252">
        <v>9798369304976</v>
      </c>
      <c r="F142" s="253" t="s">
        <v>12018</v>
      </c>
      <c r="G142" s="254">
        <v>1</v>
      </c>
      <c r="H142" s="254">
        <v>1</v>
      </c>
      <c r="I142" s="251" t="s">
        <v>12019</v>
      </c>
      <c r="J142" s="251" t="s">
        <v>1233</v>
      </c>
      <c r="K142" s="254">
        <v>2024</v>
      </c>
      <c r="L142" s="251" t="s">
        <v>11619</v>
      </c>
      <c r="M142" s="251"/>
      <c r="N142" s="255" t="s">
        <v>12020</v>
      </c>
    </row>
    <row r="143" spans="1:14" ht="26.4">
      <c r="A143" s="230">
        <v>142</v>
      </c>
      <c r="B143" s="251" t="s">
        <v>571</v>
      </c>
      <c r="C143" s="251" t="s">
        <v>11941</v>
      </c>
      <c r="D143" s="252">
        <v>9798369305041</v>
      </c>
      <c r="E143" s="252">
        <v>9798369305027</v>
      </c>
      <c r="F143" s="253" t="s">
        <v>12021</v>
      </c>
      <c r="G143" s="254">
        <v>1</v>
      </c>
      <c r="H143" s="254">
        <v>1</v>
      </c>
      <c r="I143" s="251" t="s">
        <v>11945</v>
      </c>
      <c r="J143" s="251" t="s">
        <v>1233</v>
      </c>
      <c r="K143" s="254">
        <v>2024</v>
      </c>
      <c r="L143" s="251" t="s">
        <v>11619</v>
      </c>
      <c r="M143" s="251"/>
      <c r="N143" s="255" t="s">
        <v>12022</v>
      </c>
    </row>
    <row r="144" spans="1:14">
      <c r="A144" s="230">
        <v>143</v>
      </c>
      <c r="B144" s="251" t="s">
        <v>571</v>
      </c>
      <c r="C144" s="251" t="s">
        <v>11941</v>
      </c>
      <c r="D144" s="252">
        <v>9798369306611</v>
      </c>
      <c r="E144" s="252">
        <v>9798369306598</v>
      </c>
      <c r="F144" s="253" t="s">
        <v>12023</v>
      </c>
      <c r="G144" s="254">
        <v>1</v>
      </c>
      <c r="H144" s="254">
        <v>1</v>
      </c>
      <c r="I144" s="251" t="s">
        <v>12024</v>
      </c>
      <c r="J144" s="251" t="s">
        <v>1233</v>
      </c>
      <c r="K144" s="254">
        <v>2024</v>
      </c>
      <c r="L144" s="251" t="s">
        <v>11619</v>
      </c>
      <c r="M144" s="251"/>
      <c r="N144" s="255" t="s">
        <v>12025</v>
      </c>
    </row>
    <row r="145" spans="1:14" ht="26.4">
      <c r="A145" s="230">
        <v>144</v>
      </c>
      <c r="B145" s="251" t="s">
        <v>571</v>
      </c>
      <c r="C145" s="251" t="s">
        <v>11938</v>
      </c>
      <c r="D145" s="252">
        <v>9798369304426</v>
      </c>
      <c r="E145" s="252">
        <v>9798369304402</v>
      </c>
      <c r="F145" s="253" t="s">
        <v>12026</v>
      </c>
      <c r="G145" s="254">
        <v>1</v>
      </c>
      <c r="H145" s="254">
        <v>1</v>
      </c>
      <c r="I145" s="251" t="s">
        <v>12027</v>
      </c>
      <c r="J145" s="251" t="s">
        <v>1233</v>
      </c>
      <c r="K145" s="254">
        <v>2024</v>
      </c>
      <c r="L145" s="251" t="s">
        <v>11619</v>
      </c>
      <c r="M145" s="251"/>
      <c r="N145" s="255" t="s">
        <v>12028</v>
      </c>
    </row>
    <row r="146" spans="1:14" ht="26.4">
      <c r="A146" s="230">
        <v>145</v>
      </c>
      <c r="B146" s="251" t="s">
        <v>571</v>
      </c>
      <c r="C146" s="251" t="s">
        <v>11941</v>
      </c>
      <c r="D146" s="252">
        <v>9781668476277</v>
      </c>
      <c r="E146" s="252">
        <v>9781668476253</v>
      </c>
      <c r="F146" s="253" t="s">
        <v>12029</v>
      </c>
      <c r="G146" s="254">
        <v>1</v>
      </c>
      <c r="H146" s="254">
        <v>1</v>
      </c>
      <c r="I146" s="251" t="s">
        <v>12030</v>
      </c>
      <c r="J146" s="251" t="s">
        <v>569</v>
      </c>
      <c r="K146" s="254">
        <v>2024</v>
      </c>
      <c r="L146" s="251" t="s">
        <v>11619</v>
      </c>
      <c r="M146" s="251"/>
      <c r="N146" s="255" t="s">
        <v>12031</v>
      </c>
    </row>
    <row r="147" spans="1:14">
      <c r="A147" s="230">
        <v>146</v>
      </c>
      <c r="B147" s="251" t="s">
        <v>571</v>
      </c>
      <c r="C147" s="251" t="s">
        <v>11941</v>
      </c>
      <c r="D147" s="252">
        <v>9798369314364</v>
      </c>
      <c r="E147" s="252">
        <v>9798369314357</v>
      </c>
      <c r="F147" s="253" t="s">
        <v>12032</v>
      </c>
      <c r="G147" s="254">
        <v>1</v>
      </c>
      <c r="H147" s="254">
        <v>1</v>
      </c>
      <c r="I147" s="251" t="s">
        <v>11830</v>
      </c>
      <c r="J147" s="251" t="s">
        <v>1233</v>
      </c>
      <c r="K147" s="254">
        <v>2024</v>
      </c>
      <c r="L147" s="251" t="s">
        <v>11619</v>
      </c>
      <c r="M147" s="251"/>
      <c r="N147" s="255" t="s">
        <v>12033</v>
      </c>
    </row>
    <row r="148" spans="1:14" ht="26.4">
      <c r="A148" s="230">
        <v>147</v>
      </c>
      <c r="B148" s="251" t="s">
        <v>571</v>
      </c>
      <c r="C148" s="251" t="s">
        <v>11941</v>
      </c>
      <c r="D148" s="252">
        <v>9798369307755</v>
      </c>
      <c r="E148" s="252">
        <v>9798369307748</v>
      </c>
      <c r="F148" s="253" t="s">
        <v>12034</v>
      </c>
      <c r="G148" s="254">
        <v>1</v>
      </c>
      <c r="H148" s="254">
        <v>1</v>
      </c>
      <c r="I148" s="251" t="s">
        <v>12035</v>
      </c>
      <c r="J148" s="251" t="s">
        <v>569</v>
      </c>
      <c r="K148" s="254">
        <v>2024</v>
      </c>
      <c r="L148" s="251" t="s">
        <v>11619</v>
      </c>
      <c r="M148" s="251"/>
      <c r="N148" s="255" t="s">
        <v>12036</v>
      </c>
    </row>
    <row r="149" spans="1:14" ht="26.4">
      <c r="A149" s="230">
        <v>148</v>
      </c>
      <c r="B149" s="251" t="s">
        <v>571</v>
      </c>
      <c r="C149" s="251" t="s">
        <v>11941</v>
      </c>
      <c r="D149" s="252">
        <v>9798369307878</v>
      </c>
      <c r="E149" s="252">
        <v>9798369307861</v>
      </c>
      <c r="F149" s="253" t="s">
        <v>12037</v>
      </c>
      <c r="G149" s="254">
        <v>1</v>
      </c>
      <c r="H149" s="254">
        <v>1</v>
      </c>
      <c r="I149" s="251" t="s">
        <v>12038</v>
      </c>
      <c r="J149" s="251" t="s">
        <v>1233</v>
      </c>
      <c r="K149" s="254">
        <v>2024</v>
      </c>
      <c r="L149" s="251" t="s">
        <v>11619</v>
      </c>
      <c r="M149" s="251"/>
      <c r="N149" s="255" t="s">
        <v>12039</v>
      </c>
    </row>
    <row r="150" spans="1:14" ht="26.4">
      <c r="A150" s="230">
        <v>149</v>
      </c>
      <c r="B150" s="251" t="s">
        <v>571</v>
      </c>
      <c r="C150" s="251" t="s">
        <v>11961</v>
      </c>
      <c r="D150" s="252">
        <v>9798369308936</v>
      </c>
      <c r="E150" s="252">
        <v>9798369308929</v>
      </c>
      <c r="F150" s="253" t="s">
        <v>12040</v>
      </c>
      <c r="G150" s="254">
        <v>1</v>
      </c>
      <c r="H150" s="254">
        <v>1</v>
      </c>
      <c r="I150" s="251" t="s">
        <v>12041</v>
      </c>
      <c r="J150" s="251" t="s">
        <v>1233</v>
      </c>
      <c r="K150" s="254">
        <v>2024</v>
      </c>
      <c r="L150" s="251" t="s">
        <v>11619</v>
      </c>
      <c r="M150" s="251"/>
      <c r="N150" s="255" t="s">
        <v>12042</v>
      </c>
    </row>
    <row r="151" spans="1:14">
      <c r="A151" s="230">
        <v>150</v>
      </c>
      <c r="B151" s="251" t="s">
        <v>571</v>
      </c>
      <c r="C151" s="251" t="s">
        <v>11941</v>
      </c>
      <c r="D151" s="252">
        <v>9798369305805</v>
      </c>
      <c r="E151" s="252">
        <v>9798369305782</v>
      </c>
      <c r="F151" s="253" t="s">
        <v>12043</v>
      </c>
      <c r="G151" s="254">
        <v>1</v>
      </c>
      <c r="H151" s="254">
        <v>1</v>
      </c>
      <c r="I151" s="251" t="s">
        <v>12044</v>
      </c>
      <c r="J151" s="251" t="s">
        <v>1233</v>
      </c>
      <c r="K151" s="254">
        <v>2024</v>
      </c>
      <c r="L151" s="251" t="s">
        <v>11619</v>
      </c>
      <c r="M151" s="251"/>
      <c r="N151" s="255" t="s">
        <v>12045</v>
      </c>
    </row>
    <row r="152" spans="1:14" ht="26.4">
      <c r="A152" s="230">
        <v>151</v>
      </c>
      <c r="B152" s="251" t="s">
        <v>571</v>
      </c>
      <c r="C152" s="251" t="s">
        <v>11941</v>
      </c>
      <c r="D152" s="252">
        <v>9798369314326</v>
      </c>
      <c r="E152" s="252">
        <v>9798369314319</v>
      </c>
      <c r="F152" s="253" t="s">
        <v>12046</v>
      </c>
      <c r="G152" s="254">
        <v>1</v>
      </c>
      <c r="H152" s="254">
        <v>1</v>
      </c>
      <c r="I152" s="251" t="s">
        <v>12047</v>
      </c>
      <c r="J152" s="251" t="s">
        <v>1233</v>
      </c>
      <c r="K152" s="254">
        <v>2024</v>
      </c>
      <c r="L152" s="251" t="s">
        <v>11619</v>
      </c>
      <c r="M152" s="251"/>
      <c r="N152" s="255" t="s">
        <v>12048</v>
      </c>
    </row>
    <row r="153" spans="1:14">
      <c r="A153" s="230">
        <v>152</v>
      </c>
      <c r="B153" s="251" t="s">
        <v>571</v>
      </c>
      <c r="C153" s="251" t="s">
        <v>11989</v>
      </c>
      <c r="D153" s="252">
        <v>9798369313077</v>
      </c>
      <c r="E153" s="252">
        <v>9798369313060</v>
      </c>
      <c r="F153" s="253" t="s">
        <v>12049</v>
      </c>
      <c r="G153" s="254">
        <v>1</v>
      </c>
      <c r="H153" s="254">
        <v>1</v>
      </c>
      <c r="I153" s="251" t="s">
        <v>12050</v>
      </c>
      <c r="J153" s="251" t="s">
        <v>1233</v>
      </c>
      <c r="K153" s="254">
        <v>2024</v>
      </c>
      <c r="L153" s="251" t="s">
        <v>11619</v>
      </c>
      <c r="M153" s="251"/>
      <c r="N153" s="255" t="s">
        <v>12051</v>
      </c>
    </row>
    <row r="154" spans="1:14">
      <c r="A154" s="230">
        <v>153</v>
      </c>
      <c r="B154" s="251" t="s">
        <v>571</v>
      </c>
      <c r="C154" s="251" t="s">
        <v>11941</v>
      </c>
      <c r="D154" s="252">
        <v>9798369311691</v>
      </c>
      <c r="E154" s="252">
        <v>9798369311684</v>
      </c>
      <c r="F154" s="253" t="s">
        <v>12052</v>
      </c>
      <c r="G154" s="254">
        <v>1</v>
      </c>
      <c r="H154" s="254">
        <v>1</v>
      </c>
      <c r="I154" s="251" t="s">
        <v>11890</v>
      </c>
      <c r="J154" s="251" t="s">
        <v>1233</v>
      </c>
      <c r="K154" s="254">
        <v>2024</v>
      </c>
      <c r="L154" s="251" t="s">
        <v>11619</v>
      </c>
      <c r="M154" s="251"/>
      <c r="N154" s="255" t="s">
        <v>12053</v>
      </c>
    </row>
    <row r="155" spans="1:14" ht="26.4">
      <c r="A155" s="230">
        <v>154</v>
      </c>
      <c r="B155" s="251" t="s">
        <v>571</v>
      </c>
      <c r="C155" s="251" t="s">
        <v>11941</v>
      </c>
      <c r="D155" s="252">
        <v>9798369317396</v>
      </c>
      <c r="E155" s="252">
        <v>9798369317389</v>
      </c>
      <c r="F155" s="253" t="s">
        <v>12054</v>
      </c>
      <c r="G155" s="254">
        <v>1</v>
      </c>
      <c r="H155" s="254">
        <v>1</v>
      </c>
      <c r="I155" s="251" t="s">
        <v>12055</v>
      </c>
      <c r="J155" s="251" t="s">
        <v>1233</v>
      </c>
      <c r="K155" s="254">
        <v>2024</v>
      </c>
      <c r="L155" s="251" t="s">
        <v>11619</v>
      </c>
      <c r="M155" s="251"/>
      <c r="N155" s="255" t="s">
        <v>12056</v>
      </c>
    </row>
    <row r="156" spans="1:14">
      <c r="A156" s="230">
        <v>155</v>
      </c>
      <c r="B156" s="251" t="s">
        <v>571</v>
      </c>
      <c r="C156" s="251" t="s">
        <v>11961</v>
      </c>
      <c r="D156" s="252">
        <v>9798369310199</v>
      </c>
      <c r="E156" s="252">
        <v>9798369310182</v>
      </c>
      <c r="F156" s="253" t="s">
        <v>12057</v>
      </c>
      <c r="G156" s="254">
        <v>1</v>
      </c>
      <c r="H156" s="254">
        <v>1</v>
      </c>
      <c r="I156" s="251" t="s">
        <v>12058</v>
      </c>
      <c r="J156" s="251" t="s">
        <v>1233</v>
      </c>
      <c r="K156" s="254">
        <v>2024</v>
      </c>
      <c r="L156" s="251" t="s">
        <v>11619</v>
      </c>
      <c r="M156" s="251"/>
      <c r="N156" s="255" t="s">
        <v>12059</v>
      </c>
    </row>
    <row r="157" spans="1:14" ht="26.4">
      <c r="A157" s="230">
        <v>156</v>
      </c>
      <c r="B157" s="251" t="s">
        <v>571</v>
      </c>
      <c r="C157" s="251" t="s">
        <v>11941</v>
      </c>
      <c r="D157" s="252">
        <v>9798369309698</v>
      </c>
      <c r="E157" s="252">
        <v>9798369309681</v>
      </c>
      <c r="F157" s="253" t="s">
        <v>12060</v>
      </c>
      <c r="G157" s="254">
        <v>1</v>
      </c>
      <c r="H157" s="254">
        <v>1</v>
      </c>
      <c r="I157" s="251" t="s">
        <v>12061</v>
      </c>
      <c r="J157" s="251" t="s">
        <v>1233</v>
      </c>
      <c r="K157" s="254">
        <v>2024</v>
      </c>
      <c r="L157" s="251" t="s">
        <v>11619</v>
      </c>
      <c r="M157" s="251"/>
      <c r="N157" s="255" t="s">
        <v>12062</v>
      </c>
    </row>
    <row r="158" spans="1:14">
      <c r="A158" s="230">
        <v>157</v>
      </c>
      <c r="B158" s="251" t="s">
        <v>571</v>
      </c>
      <c r="C158" s="251" t="s">
        <v>11941</v>
      </c>
      <c r="D158" s="252">
        <v>9798369310472</v>
      </c>
      <c r="E158" s="252">
        <v>9798369310465</v>
      </c>
      <c r="F158" s="253" t="s">
        <v>12063</v>
      </c>
      <c r="G158" s="254">
        <v>1</v>
      </c>
      <c r="H158" s="254">
        <v>1</v>
      </c>
      <c r="I158" s="251" t="s">
        <v>12064</v>
      </c>
      <c r="J158" s="251" t="s">
        <v>1233</v>
      </c>
      <c r="K158" s="254">
        <v>2024</v>
      </c>
      <c r="L158" s="251" t="s">
        <v>11619</v>
      </c>
      <c r="M158" s="251"/>
      <c r="N158" s="255" t="s">
        <v>12065</v>
      </c>
    </row>
    <row r="159" spans="1:14" ht="26.4">
      <c r="A159" s="230">
        <v>158</v>
      </c>
      <c r="B159" s="251" t="s">
        <v>571</v>
      </c>
      <c r="C159" s="251" t="s">
        <v>12066</v>
      </c>
      <c r="D159" s="252">
        <v>9798369314920</v>
      </c>
      <c r="E159" s="252">
        <v>9798369314913</v>
      </c>
      <c r="F159" s="253" t="s">
        <v>12067</v>
      </c>
      <c r="G159" s="254">
        <v>1</v>
      </c>
      <c r="H159" s="254">
        <v>1</v>
      </c>
      <c r="I159" s="251" t="s">
        <v>12068</v>
      </c>
      <c r="J159" s="251" t="s">
        <v>1233</v>
      </c>
      <c r="K159" s="254">
        <v>2024</v>
      </c>
      <c r="L159" s="251" t="s">
        <v>11619</v>
      </c>
      <c r="M159" s="251"/>
      <c r="N159" s="255" t="s">
        <v>12069</v>
      </c>
    </row>
    <row r="160" spans="1:14">
      <c r="A160" s="230">
        <v>159</v>
      </c>
      <c r="B160" s="251" t="s">
        <v>571</v>
      </c>
      <c r="C160" s="251" t="s">
        <v>12001</v>
      </c>
      <c r="D160" s="252">
        <v>9798369318515</v>
      </c>
      <c r="E160" s="252">
        <v>9798369318508</v>
      </c>
      <c r="F160" s="253" t="s">
        <v>12070</v>
      </c>
      <c r="G160" s="254">
        <v>1</v>
      </c>
      <c r="H160" s="254">
        <v>1</v>
      </c>
      <c r="I160" s="251" t="s">
        <v>12071</v>
      </c>
      <c r="J160" s="251" t="s">
        <v>1233</v>
      </c>
      <c r="K160" s="254">
        <v>2024</v>
      </c>
      <c r="L160" s="251" t="s">
        <v>11619</v>
      </c>
      <c r="M160" s="251"/>
      <c r="N160" s="255" t="s">
        <v>12072</v>
      </c>
    </row>
    <row r="161" spans="1:14" ht="26.4">
      <c r="A161" s="230">
        <v>160</v>
      </c>
      <c r="B161" s="251" t="s">
        <v>571</v>
      </c>
      <c r="C161" s="251" t="s">
        <v>11938</v>
      </c>
      <c r="D161" s="252">
        <v>9798369320129</v>
      </c>
      <c r="E161" s="252">
        <v>9798369320112</v>
      </c>
      <c r="F161" s="253" t="s">
        <v>12073</v>
      </c>
      <c r="G161" s="254">
        <v>1</v>
      </c>
      <c r="H161" s="254">
        <v>1</v>
      </c>
      <c r="I161" s="251" t="s">
        <v>12074</v>
      </c>
      <c r="J161" s="251" t="s">
        <v>1233</v>
      </c>
      <c r="K161" s="254">
        <v>2024</v>
      </c>
      <c r="L161" s="251" t="s">
        <v>11619</v>
      </c>
      <c r="M161" s="251"/>
      <c r="N161" s="255" t="s">
        <v>12075</v>
      </c>
    </row>
    <row r="162" spans="1:14" ht="26.4">
      <c r="A162" s="230">
        <v>161</v>
      </c>
      <c r="B162" s="251" t="s">
        <v>571</v>
      </c>
      <c r="C162" s="251" t="s">
        <v>11938</v>
      </c>
      <c r="D162" s="252">
        <v>9798369321829</v>
      </c>
      <c r="E162" s="252">
        <v>9798369321812</v>
      </c>
      <c r="F162" s="253" t="s">
        <v>12076</v>
      </c>
      <c r="G162" s="254">
        <v>1</v>
      </c>
      <c r="H162" s="254">
        <v>1</v>
      </c>
      <c r="I162" s="251" t="s">
        <v>12077</v>
      </c>
      <c r="J162" s="251" t="s">
        <v>1233</v>
      </c>
      <c r="K162" s="254">
        <v>2024</v>
      </c>
      <c r="L162" s="251" t="s">
        <v>11619</v>
      </c>
      <c r="M162" s="251"/>
      <c r="N162" s="255" t="s">
        <v>12078</v>
      </c>
    </row>
    <row r="163" spans="1:14" ht="26.4">
      <c r="A163" s="230">
        <v>162</v>
      </c>
      <c r="B163" s="251" t="s">
        <v>571</v>
      </c>
      <c r="C163" s="251" t="s">
        <v>11941</v>
      </c>
      <c r="D163" s="252">
        <v>9798369322819</v>
      </c>
      <c r="E163" s="252">
        <v>9798369322802</v>
      </c>
      <c r="F163" s="253" t="s">
        <v>12079</v>
      </c>
      <c r="G163" s="254">
        <v>1</v>
      </c>
      <c r="H163" s="254">
        <v>1</v>
      </c>
      <c r="I163" s="251" t="s">
        <v>12080</v>
      </c>
      <c r="J163" s="251" t="s">
        <v>1233</v>
      </c>
      <c r="K163" s="254">
        <v>2024</v>
      </c>
      <c r="L163" s="251" t="s">
        <v>11619</v>
      </c>
      <c r="M163" s="251"/>
      <c r="N163" s="255" t="s">
        <v>12081</v>
      </c>
    </row>
    <row r="164" spans="1:14">
      <c r="A164" s="230">
        <v>163</v>
      </c>
      <c r="B164" s="257" t="s">
        <v>5071</v>
      </c>
      <c r="C164" s="257" t="s">
        <v>7995</v>
      </c>
      <c r="D164" s="258">
        <v>9781668488959</v>
      </c>
      <c r="E164" s="258">
        <v>9781668488935</v>
      </c>
      <c r="F164" s="259" t="s">
        <v>12082</v>
      </c>
      <c r="G164" s="260">
        <v>1</v>
      </c>
      <c r="H164" s="260">
        <v>1</v>
      </c>
      <c r="I164" s="257" t="s">
        <v>12083</v>
      </c>
      <c r="J164" s="257" t="s">
        <v>12084</v>
      </c>
      <c r="K164" s="260">
        <v>2023</v>
      </c>
      <c r="L164" s="257" t="s">
        <v>7499</v>
      </c>
      <c r="M164" s="257"/>
      <c r="N164" s="261" t="s">
        <v>12085</v>
      </c>
    </row>
    <row r="165" spans="1:14">
      <c r="A165" s="230">
        <v>164</v>
      </c>
      <c r="B165" s="257" t="s">
        <v>5413</v>
      </c>
      <c r="C165" s="257" t="s">
        <v>12086</v>
      </c>
      <c r="D165" s="258">
        <v>9781668467381</v>
      </c>
      <c r="E165" s="258">
        <v>9781668467374</v>
      </c>
      <c r="F165" s="259" t="s">
        <v>12087</v>
      </c>
      <c r="G165" s="260">
        <v>1</v>
      </c>
      <c r="H165" s="260">
        <v>1</v>
      </c>
      <c r="I165" s="257" t="s">
        <v>12088</v>
      </c>
      <c r="J165" s="257" t="s">
        <v>561</v>
      </c>
      <c r="K165" s="260">
        <v>2023</v>
      </c>
      <c r="L165" s="257" t="s">
        <v>7499</v>
      </c>
      <c r="M165" s="257"/>
      <c r="N165" s="261" t="s">
        <v>12089</v>
      </c>
    </row>
  </sheetData>
  <phoneticPr fontId="3" type="noConversion"/>
  <hyperlinks>
    <hyperlink ref="N2" r:id="rId1" xr:uid="{A023E58A-EB62-4AEF-8996-8D2957A5B953}"/>
    <hyperlink ref="N4" r:id="rId2" xr:uid="{816CD03A-9624-48AB-B742-37E3C2D73DE7}"/>
    <hyperlink ref="N5" r:id="rId3" xr:uid="{FC856E37-1399-4ABE-8A79-DE46DF34FF96}"/>
    <hyperlink ref="N6" r:id="rId4" xr:uid="{0503088D-754D-4538-8D57-C672D192DD32}"/>
    <hyperlink ref="N7" r:id="rId5" xr:uid="{85D057B6-C76E-4CBF-B876-A94DFFEB4D6D}"/>
    <hyperlink ref="N8" r:id="rId6" xr:uid="{F1482B9F-DADD-45BD-9A37-8CCBD2F3E037}"/>
    <hyperlink ref="N9" r:id="rId7" xr:uid="{397F6735-7A75-443C-9BA7-5C054035ECC3}"/>
    <hyperlink ref="N10" r:id="rId8" xr:uid="{B5A5D316-E125-47DD-9165-0B254FAC3E4C}"/>
    <hyperlink ref="N11" r:id="rId9" xr:uid="{735B6885-DC72-4B49-B0C1-61D8D05905C6}"/>
    <hyperlink ref="N12" r:id="rId10" xr:uid="{AE9DEFB2-1B7A-4009-8B87-DA28F0A26B15}"/>
    <hyperlink ref="N13" r:id="rId11" xr:uid="{FBF1232B-0CF5-4AEA-AB9E-532B68BD53C1}"/>
    <hyperlink ref="N14" r:id="rId12" xr:uid="{B4E81F90-BE23-498A-8F33-3BBFF8EDC4C1}"/>
    <hyperlink ref="N15" r:id="rId13" xr:uid="{C5C7D2E9-15F7-4775-BE2C-38C71FB01EA5}"/>
    <hyperlink ref="N16" r:id="rId14" xr:uid="{27C102E7-670B-450E-AE81-36C3603EC8E7}"/>
    <hyperlink ref="N17" r:id="rId15" xr:uid="{0B4217FB-D853-4405-833C-7051F6C2C165}"/>
    <hyperlink ref="N18" r:id="rId16" xr:uid="{9AA9F446-627C-4E65-920A-3D417BDBF9DC}"/>
    <hyperlink ref="N19" r:id="rId17" xr:uid="{FE723B2D-D387-4A61-92BF-F1AC92F30A42}"/>
    <hyperlink ref="N20" r:id="rId18" xr:uid="{BC6DCA92-27A5-4267-BA5D-19BE9AE75E43}"/>
    <hyperlink ref="N21" r:id="rId19" xr:uid="{D45C7DEF-8A4D-455D-A301-7701034B4143}"/>
    <hyperlink ref="N22" r:id="rId20" xr:uid="{9A12C1C4-187A-425E-98A8-6843B4F66921}"/>
    <hyperlink ref="N23" r:id="rId21" xr:uid="{6E73A614-3BDA-450C-80DE-7EE9E687BADE}"/>
    <hyperlink ref="N24" r:id="rId22" xr:uid="{D985AC5B-AB86-45B4-9B3A-70F68B27BB53}"/>
    <hyperlink ref="N25" r:id="rId23" xr:uid="{780FD6D2-98FB-4B2B-B909-A6CD7C69B0FE}"/>
    <hyperlink ref="N27" r:id="rId24" xr:uid="{829F9A9F-2590-46FE-ABA6-C5E0F20D588E}"/>
    <hyperlink ref="N26" r:id="rId25" xr:uid="{5EAA64F3-AE9F-4656-8B70-983EEC73FD15}"/>
    <hyperlink ref="N28" r:id="rId26" xr:uid="{E1ADA3CE-6AB1-4BA1-B75E-5EFFAEC38FD4}"/>
    <hyperlink ref="N29" r:id="rId27" xr:uid="{5D69ABF4-A769-4171-8FE6-647ADDAE9BE9}"/>
    <hyperlink ref="N30" r:id="rId28" xr:uid="{F012121B-1B7A-4869-8C22-EFCDF49324D1}"/>
    <hyperlink ref="N31" r:id="rId29" xr:uid="{6210195A-69A1-4149-A68F-4EA0AD9D75A3}"/>
    <hyperlink ref="N32" r:id="rId30" xr:uid="{682318D1-1176-419C-B68E-1CEB97A07899}"/>
    <hyperlink ref="N33" r:id="rId31" xr:uid="{129AAC71-B16D-4B70-95BA-7BE277949D18}"/>
    <hyperlink ref="N34" r:id="rId32" xr:uid="{48CA334B-0FEB-47B5-B3E7-9F174CB5B64F}"/>
    <hyperlink ref="N35" r:id="rId33" xr:uid="{BF34E214-3B09-43C6-8F04-B00068ABFE28}"/>
    <hyperlink ref="N36" r:id="rId34" xr:uid="{69C54743-AAD7-4BED-BFFE-DCCD1394A321}"/>
    <hyperlink ref="N37" r:id="rId35" xr:uid="{BF9B3502-3C45-42EF-8D6B-0C98BC132888}"/>
    <hyperlink ref="N38" r:id="rId36" xr:uid="{FA1B6A5C-1C12-46AF-BC66-E47AD0D8D560}"/>
    <hyperlink ref="N39" r:id="rId37" xr:uid="{3BAB18F7-3793-4817-9BA2-FD84B8C83693}"/>
    <hyperlink ref="N40" r:id="rId38" xr:uid="{E7A3761C-7233-4B0C-A484-20AE2C028341}"/>
    <hyperlink ref="N41" r:id="rId39" xr:uid="{30148FBD-A312-45CB-B571-5C86FD995A54}"/>
    <hyperlink ref="N42" r:id="rId40" xr:uid="{6C0E9AB6-5E86-4A8B-A04B-94F5BB5D43BC}"/>
    <hyperlink ref="N43" r:id="rId41" xr:uid="{4548710B-11F6-49E0-AAFF-02607085ECD9}"/>
    <hyperlink ref="N44" r:id="rId42" xr:uid="{27708B8D-FE39-4532-85EF-35EA8587807A}"/>
    <hyperlink ref="N45" r:id="rId43" xr:uid="{172A6DBF-C3BA-4E8A-BB44-A8838D9C8D64}"/>
    <hyperlink ref="N46" r:id="rId44" xr:uid="{23E20E5E-2A25-416F-BCD8-689EF4AFDD04}"/>
    <hyperlink ref="N47" r:id="rId45" xr:uid="{E0C8A131-04B5-4A2B-BD28-308A4B8D24FD}"/>
    <hyperlink ref="N48" r:id="rId46" xr:uid="{64280E0B-0049-4D92-9AFB-7FEB9B1719D5}"/>
    <hyperlink ref="N49" r:id="rId47" xr:uid="{B587ED17-35FD-4047-B5DD-D8A807E08F0B}"/>
    <hyperlink ref="N50" r:id="rId48" xr:uid="{54C08264-B6F8-47E5-B9D4-CAAAE7D135CC}"/>
    <hyperlink ref="N51" r:id="rId49" xr:uid="{528C37CD-EA10-4DEE-9008-82661AA97315}"/>
    <hyperlink ref="N52" r:id="rId50" xr:uid="{0E20E831-9A48-4F23-9100-DE9D0D2BF98F}"/>
    <hyperlink ref="N53" r:id="rId51" xr:uid="{16829AEB-A662-4FDB-94F4-67DCAFBD1F4D}"/>
    <hyperlink ref="N54" r:id="rId52" xr:uid="{B95CAEDF-26AB-4394-83E6-C526AA667B60}"/>
    <hyperlink ref="N55" r:id="rId53" xr:uid="{8B145876-789E-4DBC-8F55-42F683B97E57}"/>
    <hyperlink ref="N56" r:id="rId54" xr:uid="{50403BA2-2DF9-4D6E-B053-58BFBA84B835}"/>
    <hyperlink ref="N57" r:id="rId55" xr:uid="{4021E059-2DA3-4024-B2AC-D7B700D6FE4A}"/>
    <hyperlink ref="N58" r:id="rId56" xr:uid="{DB621168-5219-4559-8722-A6EA680B33AD}"/>
    <hyperlink ref="N59" r:id="rId57" xr:uid="{18BB9F3C-9EDD-457B-8F39-9C4B5A881ACC}"/>
    <hyperlink ref="N60" r:id="rId58" xr:uid="{FC0DCB03-2E7A-427D-A1C0-6E08CDD01C1B}"/>
    <hyperlink ref="N61" r:id="rId59" xr:uid="{1A9F8731-7F93-40B8-B3CA-B14E69FB7371}"/>
    <hyperlink ref="N62" r:id="rId60" xr:uid="{44F722F7-E4BF-46AA-909B-1359A6075E01}"/>
    <hyperlink ref="N63" r:id="rId61" xr:uid="{234B7D19-6980-4944-9953-888F8477145E}"/>
    <hyperlink ref="N64" r:id="rId62" xr:uid="{2F22D674-456F-4C25-AAF9-50124BD8B19F}"/>
    <hyperlink ref="N65" r:id="rId63" xr:uid="{2D13F92C-A254-4F16-AAF6-48A7A3A3B8D1}"/>
    <hyperlink ref="N66" r:id="rId64" xr:uid="{A55F57B9-2127-459D-A50E-92DD4A56EFCE}"/>
    <hyperlink ref="N67" r:id="rId65" xr:uid="{CF5B60FD-7FD6-4F6B-9E75-0794A857759C}"/>
    <hyperlink ref="N68" r:id="rId66" xr:uid="{4937FBD3-526E-4289-90F3-E42FEBEE97B6}"/>
    <hyperlink ref="N69" r:id="rId67" xr:uid="{0C5EDDEF-B5E5-4825-A412-2839A5769B0B}"/>
    <hyperlink ref="N70" r:id="rId68" xr:uid="{E6781C15-0C3A-471F-A142-FF11626BB543}"/>
    <hyperlink ref="N71" r:id="rId69" xr:uid="{5BF1B269-F6F1-4CC8-94E9-23D3C14CB1C4}"/>
    <hyperlink ref="N72" r:id="rId70" xr:uid="{3FE6BD52-4E41-4742-933C-F48C52E5D315}"/>
    <hyperlink ref="N73" r:id="rId71" xr:uid="{3582CA72-1ED3-442F-AF15-5CE8A1F3A19E}"/>
    <hyperlink ref="N74" r:id="rId72" xr:uid="{55EF6C1E-BC49-4269-9F96-E11BF508200B}"/>
    <hyperlink ref="N75" r:id="rId73" xr:uid="{E571D682-1CAE-42F8-B356-0686321E0D8E}"/>
    <hyperlink ref="N76" r:id="rId74" xr:uid="{6C4AB3F8-1496-461B-AFAF-9F80EEDFB2B2}"/>
    <hyperlink ref="N77" r:id="rId75" xr:uid="{D0A2A427-64B3-499B-BA52-F970D9A7BC3B}"/>
    <hyperlink ref="N78" r:id="rId76" xr:uid="{A56E3590-1D7F-43D3-B143-FF95B47733BB}"/>
    <hyperlink ref="N80" r:id="rId77" xr:uid="{46CE9C19-6AF0-41E9-951B-6F1FF300D2AE}"/>
    <hyperlink ref="N81" r:id="rId78" xr:uid="{EDD77F09-636D-418A-AABB-3424AE48EA25}"/>
    <hyperlink ref="N79" r:id="rId79" xr:uid="{BF6FEB67-4404-4006-B165-5869BB37F727}"/>
    <hyperlink ref="N82" r:id="rId80" xr:uid="{34304574-E1EC-44F8-81B3-D5DA44F5D87C}"/>
    <hyperlink ref="N83" r:id="rId81" xr:uid="{911E97DA-747E-4429-A085-EAB60E294273}"/>
    <hyperlink ref="N84" r:id="rId82" xr:uid="{78D51682-CE89-4DC3-A1BA-AC6E60A26D10}"/>
    <hyperlink ref="N85" r:id="rId83" xr:uid="{F8727C63-A317-43E8-B74C-EEF4C9907212}"/>
    <hyperlink ref="N86" r:id="rId84" xr:uid="{8AED0C64-2CE1-42EA-BF33-AA7D6BBB112F}"/>
    <hyperlink ref="N87" r:id="rId85" xr:uid="{E0955DFF-CFB0-459F-9CC0-38A7FFFF80BF}"/>
    <hyperlink ref="N88" r:id="rId86" xr:uid="{87C2BFE3-10CF-4188-A3EB-E534D75C4745}"/>
    <hyperlink ref="N89" r:id="rId87" xr:uid="{960129F5-687D-413E-9A4A-5FC90B592432}"/>
    <hyperlink ref="N90" r:id="rId88" xr:uid="{03C1BCF9-3FF6-4BA2-A262-0A2849265E5E}"/>
    <hyperlink ref="N91" r:id="rId89" xr:uid="{21BACB32-F2AF-42DA-AC97-295238BCE2CC}"/>
    <hyperlink ref="N92" r:id="rId90" xr:uid="{3C680FA0-22D8-493B-A75A-CEC87CCF6CD6}"/>
    <hyperlink ref="N93" r:id="rId91" xr:uid="{6A46D7F0-7E11-4785-A67B-E6FE7D021C72}"/>
    <hyperlink ref="N94" r:id="rId92" xr:uid="{FCBCCF35-823B-443E-86E9-BFB7EB6E5D9A}"/>
    <hyperlink ref="N95" r:id="rId93" xr:uid="{5EC6753C-3BDD-460F-B659-41507737DA1B}"/>
    <hyperlink ref="N96" r:id="rId94" xr:uid="{417FDA78-53F1-47BF-A192-98DDAD72DFC8}"/>
    <hyperlink ref="N97" r:id="rId95" xr:uid="{75E0A88B-7F66-444E-A0EF-8C7145FD7BFD}"/>
    <hyperlink ref="N99" r:id="rId96" xr:uid="{3F8FEBAB-0AAD-4AC1-82F5-B7D1A50B50CD}"/>
    <hyperlink ref="N100" r:id="rId97" xr:uid="{7FF73E31-5926-40A3-A903-9A97C1E30D8E}"/>
    <hyperlink ref="N98" r:id="rId98" xr:uid="{E8A2385D-D1B4-4C72-8B9A-1467EDDBCD75}"/>
    <hyperlink ref="N101" r:id="rId99" xr:uid="{D9C4BF9A-F7F4-44EC-899E-1611D0F5D7B8}"/>
    <hyperlink ref="N102" r:id="rId100" xr:uid="{D64D611A-8483-4BBE-A73E-702EA09CB24B}"/>
    <hyperlink ref="N103" r:id="rId101" xr:uid="{0447357F-F9FC-4F82-A8ED-D7109269F0CE}"/>
    <hyperlink ref="N104" r:id="rId102" xr:uid="{F58A10DC-068D-4AF2-9B88-4D7C2F292526}"/>
    <hyperlink ref="N105" r:id="rId103" xr:uid="{109FAEE2-8876-48A8-A614-F88540234901}"/>
    <hyperlink ref="N106" r:id="rId104" xr:uid="{46D19AF1-A035-4220-BC40-007429864019}"/>
    <hyperlink ref="N107" r:id="rId105" xr:uid="{79A4C84B-7005-48F2-AB6C-DB90F53A90C1}"/>
    <hyperlink ref="N108" r:id="rId106" xr:uid="{9D559D11-AD4E-4A75-83F2-2E2F3EE6E2ED}"/>
    <hyperlink ref="N109" r:id="rId107" xr:uid="{02D1A6EA-8C1C-4007-B3DF-C7CD660CD8E1}"/>
    <hyperlink ref="N110" r:id="rId108" xr:uid="{F888720D-23AE-4F05-8C32-A6894F093B4B}"/>
    <hyperlink ref="N111" r:id="rId109" xr:uid="{D8FAEBF9-9280-481F-868F-14556C4E9492}"/>
    <hyperlink ref="N112" r:id="rId110" xr:uid="{8DF2AEDB-7AA4-43A0-95E7-0614E454D209}"/>
    <hyperlink ref="N113" r:id="rId111" xr:uid="{52BE33C1-5953-4640-A3CD-812450790CBF}"/>
    <hyperlink ref="N114" r:id="rId112" xr:uid="{4B6A8BBE-8C45-4A19-A395-C9B94307BB0F}"/>
    <hyperlink ref="N115" r:id="rId113" xr:uid="{E66ED850-904E-43A6-A7B1-5A8AA80E5F95}"/>
    <hyperlink ref="N116" r:id="rId114" xr:uid="{5417F3E1-3E56-4DB8-A070-46E727470142}"/>
    <hyperlink ref="N117" r:id="rId115" xr:uid="{D63D06A3-30EC-4579-97BA-AC7848A421D7}"/>
    <hyperlink ref="N118" r:id="rId116" xr:uid="{C1DFFF0F-C010-4638-9AB1-E8B3D48B8EF7}"/>
    <hyperlink ref="N119" r:id="rId117" xr:uid="{F699D773-831B-4920-8A68-02D79BDD442D}"/>
    <hyperlink ref="N120" r:id="rId118" xr:uid="{A7EBF14D-3817-4092-AAA1-C7B8AF4BC797}"/>
    <hyperlink ref="N121" r:id="rId119" xr:uid="{0F9CE089-56DA-479B-9947-76AAEF86175B}"/>
    <hyperlink ref="N122" r:id="rId120" xr:uid="{55F813C0-2029-4788-A34F-28D46BEFC9B7}"/>
    <hyperlink ref="N123" r:id="rId121" xr:uid="{7FC5E1CD-8FE7-4CD4-A300-363B80076C6D}"/>
    <hyperlink ref="N124" r:id="rId122" xr:uid="{81254022-6771-4F5B-8C0C-42DB72C5FE24}"/>
    <hyperlink ref="N125" r:id="rId123" xr:uid="{48ACD97E-3BC4-451D-8161-866EDB4ACA97}"/>
    <hyperlink ref="N127" r:id="rId124" xr:uid="{7AEE3AB1-15CE-4304-A58D-D639AE2FF573}"/>
    <hyperlink ref="N126" r:id="rId125" xr:uid="{D3F3731B-6EDC-416F-8784-8557778C8FE6}"/>
    <hyperlink ref="N128" r:id="rId126" xr:uid="{DEF17F73-EF66-40E9-8DE3-CB0420EE0EED}"/>
    <hyperlink ref="N129" r:id="rId127" xr:uid="{5800FB11-D488-4366-916F-8D66B2D4B08F}"/>
    <hyperlink ref="N130" r:id="rId128" xr:uid="{9BAC96F0-2EE6-49E1-8641-44CE38CD42B6}"/>
    <hyperlink ref="N131" r:id="rId129" xr:uid="{3B844645-2C1C-48FF-86C7-890BC861EBAE}"/>
    <hyperlink ref="N132" r:id="rId130" xr:uid="{1C67230B-D70A-4167-ABB2-6C6ACC241E03}"/>
    <hyperlink ref="N133" r:id="rId131" xr:uid="{9FEC07CB-22AA-420D-9E30-09793847B12D}"/>
    <hyperlink ref="N134" r:id="rId132" xr:uid="{EE5EFA49-1F83-457A-98BB-5511F25C7E2C}"/>
    <hyperlink ref="N135" r:id="rId133" xr:uid="{070BE7C8-6DBC-409B-A9D1-D106644F5BD1}"/>
    <hyperlink ref="N136" r:id="rId134" xr:uid="{0816B47B-F32D-470E-9D89-7355C06C6F1C}"/>
    <hyperlink ref="N137" r:id="rId135" xr:uid="{0D4E30D3-19D3-41ED-8582-88BF84AA4EB2}"/>
    <hyperlink ref="N138" r:id="rId136" xr:uid="{2A9078E9-DEBE-460B-896D-70C162D1FC5B}"/>
    <hyperlink ref="N139" r:id="rId137" xr:uid="{44F3435E-2208-4C3A-B867-ECDFF3E76FFC}"/>
    <hyperlink ref="N141" r:id="rId138" xr:uid="{57E7F135-FA59-45C8-980C-FCFAA2AC99BC}"/>
    <hyperlink ref="N142" r:id="rId139" xr:uid="{EC620BDE-356E-4D1B-9247-5F149A1631ED}"/>
    <hyperlink ref="N143" r:id="rId140" xr:uid="{DA0B7D31-D259-4C2F-99AA-844CE2ADFFC0}"/>
    <hyperlink ref="N140" r:id="rId141" xr:uid="{70907ADE-8C00-4E3C-A097-31882712E7E0}"/>
    <hyperlink ref="N144" r:id="rId142" xr:uid="{4A836F1A-F075-48D6-849C-C069EDD461E5}"/>
    <hyperlink ref="N145" r:id="rId143" xr:uid="{761432C7-7787-42CD-9AE4-9E71BCC043B0}"/>
    <hyperlink ref="N146" r:id="rId144" xr:uid="{699A42C8-AD2C-4DC3-947D-D2C95ABBBAD4}"/>
    <hyperlink ref="N147" r:id="rId145" xr:uid="{07FB852D-60D0-4A15-B580-BFC673ED5B22}"/>
    <hyperlink ref="N148" r:id="rId146" xr:uid="{EB488BCC-F1AE-4CDC-93E1-136D8211FD65}"/>
    <hyperlink ref="N149" r:id="rId147" xr:uid="{F99BFFF2-D7E6-4218-B311-1209119368F1}"/>
    <hyperlink ref="N151" r:id="rId148" xr:uid="{ACB2B9D7-0CAF-456F-8DD3-54E858E46592}"/>
    <hyperlink ref="N150" r:id="rId149" xr:uid="{8C09F06E-792B-4AE5-9EE8-9C5844030966}"/>
    <hyperlink ref="N152" r:id="rId150" xr:uid="{6B7687B7-CAB0-4E62-A04C-CF0FD3DC217A}"/>
    <hyperlink ref="N153" r:id="rId151" xr:uid="{EFA40E44-F97A-4E2F-9EA2-8ECFEDDDD460}"/>
    <hyperlink ref="N154" r:id="rId152" xr:uid="{AAACA928-D838-43B1-B456-B9C63AC04876}"/>
    <hyperlink ref="N155" r:id="rId153" xr:uid="{39D3F9B5-C8F3-4951-A69C-E6B571F08FE6}"/>
    <hyperlink ref="N156" r:id="rId154" xr:uid="{6FFF91FC-A140-4C38-B3EE-214C7CB907E9}"/>
    <hyperlink ref="N158" r:id="rId155" xr:uid="{4DC93790-34B2-4044-BDF8-9FE477D1AC20}"/>
    <hyperlink ref="N157" r:id="rId156" xr:uid="{ED099E4A-F4EF-4133-A400-3E025EC0E156}"/>
    <hyperlink ref="N159" r:id="rId157" xr:uid="{252863BB-84D5-4B4A-8AB2-FB1EECF6F093}"/>
    <hyperlink ref="N161" r:id="rId158" xr:uid="{872011EC-7A1B-4DDA-AB1F-97B0D453A30D}"/>
    <hyperlink ref="N162" r:id="rId159" xr:uid="{5A2C98D3-60B5-4AD3-9AA0-C5E1D871D18A}"/>
    <hyperlink ref="N163" r:id="rId160" xr:uid="{8A202152-D268-42C1-A08A-D9982EF2B4AD}"/>
    <hyperlink ref="N160" r:id="rId161" xr:uid="{8AC70E83-D059-42E6-A1CF-DDACABD2AF7B}"/>
    <hyperlink ref="N3" r:id="rId162" xr:uid="{C1B800FC-531C-45E2-A6D9-30C6D8D178CC}"/>
    <hyperlink ref="N164" r:id="rId163" xr:uid="{B069A898-5EEC-42E2-BCD3-296676A9DD3E}"/>
    <hyperlink ref="N165" r:id="rId164" xr:uid="{B7FE621E-1639-4D8D-A469-68C030E575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1"/>
  <sheetViews>
    <sheetView zoomScaleNormal="100" workbookViewId="0">
      <selection activeCell="O6" sqref="O6"/>
    </sheetView>
  </sheetViews>
  <sheetFormatPr defaultColWidth="13.6640625" defaultRowHeight="16.2"/>
  <cols>
    <col min="1" max="1" width="6.109375" style="1" customWidth="1"/>
    <col min="2" max="2" width="20.33203125" style="1" hidden="1" customWidth="1"/>
    <col min="3" max="3" width="20.77734375" style="1" customWidth="1"/>
    <col min="4" max="4" width="8.88671875" style="3" hidden="1" customWidth="1"/>
    <col min="5" max="5" width="20" style="3" hidden="1" customWidth="1"/>
    <col min="6" max="6" width="19" style="1" bestFit="1" customWidth="1"/>
    <col min="7" max="7" width="11" style="1" hidden="1" customWidth="1"/>
    <col min="8" max="8" width="72.109375" style="1" customWidth="1"/>
    <col min="9" max="9" width="3.21875" style="1" hidden="1" customWidth="1"/>
    <col min="10" max="10" width="2.77734375" style="1" hidden="1" customWidth="1"/>
    <col min="11" max="11" width="24.88671875" style="1" customWidth="1"/>
    <col min="12" max="12" width="8.77734375" style="1" hidden="1" customWidth="1"/>
    <col min="13" max="13" width="7.44140625" style="1" customWidth="1"/>
    <col min="14" max="14" width="76.77734375" style="2" customWidth="1"/>
    <col min="15" max="16384" width="13.6640625" style="1"/>
  </cols>
  <sheetData>
    <row r="1" spans="1:14" s="44" customFormat="1">
      <c r="A1" s="45" t="s">
        <v>542</v>
      </c>
      <c r="B1" s="45" t="s">
        <v>1223</v>
      </c>
      <c r="C1" s="45" t="s">
        <v>538</v>
      </c>
      <c r="D1" s="46" t="s">
        <v>1225</v>
      </c>
      <c r="E1" s="46" t="s">
        <v>1226</v>
      </c>
      <c r="F1" s="45" t="s">
        <v>539</v>
      </c>
      <c r="G1" s="45" t="s">
        <v>544</v>
      </c>
      <c r="H1" s="45" t="s">
        <v>1224</v>
      </c>
      <c r="I1" s="45" t="s">
        <v>545</v>
      </c>
      <c r="J1" s="45" t="s">
        <v>540</v>
      </c>
      <c r="K1" s="45" t="s">
        <v>1222</v>
      </c>
      <c r="L1" s="45" t="s">
        <v>541</v>
      </c>
      <c r="M1" s="45" t="s">
        <v>543</v>
      </c>
      <c r="N1" s="45" t="s">
        <v>534</v>
      </c>
    </row>
    <row r="2" spans="1:14">
      <c r="A2" s="47">
        <v>1</v>
      </c>
      <c r="B2" s="47" t="s">
        <v>571</v>
      </c>
      <c r="C2" s="47" t="s">
        <v>567</v>
      </c>
      <c r="D2" s="48" t="s">
        <v>1475</v>
      </c>
      <c r="E2" s="48" t="s">
        <v>1476</v>
      </c>
      <c r="F2" s="47" t="s">
        <v>1477</v>
      </c>
      <c r="G2" s="47" t="s">
        <v>1478</v>
      </c>
      <c r="H2" s="47" t="s">
        <v>1479</v>
      </c>
      <c r="I2" s="47">
        <v>1</v>
      </c>
      <c r="J2" s="47">
        <v>1</v>
      </c>
      <c r="K2" s="47" t="s">
        <v>1480</v>
      </c>
      <c r="L2" s="47" t="s">
        <v>568</v>
      </c>
      <c r="M2" s="47">
        <v>2012</v>
      </c>
      <c r="N2" s="33" t="str">
        <f>HYPERLINK("http://services.igi-global.com/resolvedoi/resolve.aspx?doi=10.4018/978-1-46661-631-8")</f>
        <v>http://services.igi-global.com/resolvedoi/resolve.aspx?doi=10.4018/978-1-46661-631-8</v>
      </c>
    </row>
    <row r="3" spans="1:14">
      <c r="A3" s="47">
        <v>2</v>
      </c>
      <c r="B3" s="47" t="s">
        <v>571</v>
      </c>
      <c r="C3" s="47" t="s">
        <v>567</v>
      </c>
      <c r="D3" s="48" t="s">
        <v>1398</v>
      </c>
      <c r="E3" s="48" t="s">
        <v>887</v>
      </c>
      <c r="F3" s="47" t="s">
        <v>888</v>
      </c>
      <c r="G3" s="47" t="s">
        <v>889</v>
      </c>
      <c r="H3" s="47" t="s">
        <v>890</v>
      </c>
      <c r="I3" s="47">
        <v>1</v>
      </c>
      <c r="J3" s="47">
        <v>1</v>
      </c>
      <c r="K3" s="47" t="s">
        <v>546</v>
      </c>
      <c r="L3" s="47" t="s">
        <v>568</v>
      </c>
      <c r="M3" s="47">
        <v>2012</v>
      </c>
      <c r="N3" s="33" t="str">
        <f>HYPERLINK("http://services.igi-global.com/resolvedoi/resolve.aspx?doi=10.4018/978-1-61350-156-6")</f>
        <v>http://services.igi-global.com/resolvedoi/resolve.aspx?doi=10.4018/978-1-61350-156-6</v>
      </c>
    </row>
    <row r="4" spans="1:14">
      <c r="A4" s="47">
        <v>3</v>
      </c>
      <c r="B4" s="47" t="s">
        <v>571</v>
      </c>
      <c r="C4" s="47" t="s">
        <v>567</v>
      </c>
      <c r="D4" s="48" t="s">
        <v>1378</v>
      </c>
      <c r="E4" s="48" t="s">
        <v>374</v>
      </c>
      <c r="F4" s="47" t="s">
        <v>375</v>
      </c>
      <c r="G4" s="47" t="s">
        <v>376</v>
      </c>
      <c r="H4" s="47" t="s">
        <v>377</v>
      </c>
      <c r="I4" s="47">
        <v>1</v>
      </c>
      <c r="J4" s="47">
        <v>1</v>
      </c>
      <c r="K4" s="47" t="s">
        <v>547</v>
      </c>
      <c r="L4" s="47" t="s">
        <v>568</v>
      </c>
      <c r="M4" s="47">
        <v>2012</v>
      </c>
      <c r="N4" s="33" t="str">
        <f>HYPERLINK("http://services.igi-global.com/resolvedoi/resolve.aspx?doi=10.4018/978-1-46660-044-7")</f>
        <v>http://services.igi-global.com/resolvedoi/resolve.aspx?doi=10.4018/978-1-46660-044-7</v>
      </c>
    </row>
    <row r="5" spans="1:14">
      <c r="A5" s="47">
        <v>4</v>
      </c>
      <c r="B5" s="47" t="s">
        <v>571</v>
      </c>
      <c r="C5" s="47" t="s">
        <v>567</v>
      </c>
      <c r="D5" s="48" t="s">
        <v>901</v>
      </c>
      <c r="E5" s="48" t="s">
        <v>902</v>
      </c>
      <c r="F5" s="47" t="s">
        <v>903</v>
      </c>
      <c r="G5" s="47" t="s">
        <v>904</v>
      </c>
      <c r="H5" s="47" t="s">
        <v>905</v>
      </c>
      <c r="I5" s="47">
        <v>1</v>
      </c>
      <c r="J5" s="47">
        <v>1</v>
      </c>
      <c r="K5" s="47" t="s">
        <v>906</v>
      </c>
      <c r="L5" s="47" t="s">
        <v>568</v>
      </c>
      <c r="M5" s="47">
        <v>2012</v>
      </c>
      <c r="N5" s="33" t="str">
        <f>HYPERLINK("http://services.igi-global.com/resolvedoi/resolve.aspx?doi=10.4018/978-1-61350-171-9")</f>
        <v>http://services.igi-global.com/resolvedoi/resolve.aspx?doi=10.4018/978-1-61350-171-9</v>
      </c>
    </row>
    <row r="6" spans="1:14">
      <c r="A6" s="47">
        <v>5</v>
      </c>
      <c r="B6" s="47" t="s">
        <v>571</v>
      </c>
      <c r="C6" s="47" t="s">
        <v>567</v>
      </c>
      <c r="D6" s="48" t="s">
        <v>1352</v>
      </c>
      <c r="E6" s="48" t="s">
        <v>64</v>
      </c>
      <c r="F6" s="47" t="s">
        <v>65</v>
      </c>
      <c r="G6" s="47" t="s">
        <v>66</v>
      </c>
      <c r="H6" s="47" t="s">
        <v>67</v>
      </c>
      <c r="I6" s="47">
        <v>1</v>
      </c>
      <c r="J6" s="47">
        <v>1</v>
      </c>
      <c r="K6" s="47" t="s">
        <v>68</v>
      </c>
      <c r="L6" s="47" t="s">
        <v>568</v>
      </c>
      <c r="M6" s="47">
        <v>2012</v>
      </c>
      <c r="N6" s="33" t="str">
        <f>HYPERLINK("http://services.igi-global.com/resolvedoi/resolve.aspx?doi=10.4018/978-1-46660-249-6")</f>
        <v>http://services.igi-global.com/resolvedoi/resolve.aspx?doi=10.4018/978-1-46660-249-6</v>
      </c>
    </row>
    <row r="7" spans="1:14">
      <c r="A7" s="47">
        <v>6</v>
      </c>
      <c r="B7" s="47" t="s">
        <v>571</v>
      </c>
      <c r="C7" s="47" t="s">
        <v>567</v>
      </c>
      <c r="D7" s="48" t="s">
        <v>502</v>
      </c>
      <c r="E7" s="48" t="s">
        <v>896</v>
      </c>
      <c r="F7" s="47" t="s">
        <v>897</v>
      </c>
      <c r="G7" s="47" t="s">
        <v>898</v>
      </c>
      <c r="H7" s="47" t="s">
        <v>899</v>
      </c>
      <c r="I7" s="47">
        <v>1</v>
      </c>
      <c r="J7" s="47">
        <v>1</v>
      </c>
      <c r="K7" s="47" t="s">
        <v>900</v>
      </c>
      <c r="L7" s="47" t="s">
        <v>568</v>
      </c>
      <c r="M7" s="49">
        <v>2012</v>
      </c>
      <c r="N7" s="33" t="str">
        <f>HYPERLINK("http://services.igi-global.com/resolvedoi/resolve.aspx?doi=10.4018/978-1-61350-050-7")</f>
        <v>http://services.igi-global.com/resolvedoi/resolve.aspx?doi=10.4018/978-1-61350-050-7</v>
      </c>
    </row>
    <row r="8" spans="1:14">
      <c r="A8" s="47">
        <v>7</v>
      </c>
      <c r="B8" s="47" t="s">
        <v>571</v>
      </c>
      <c r="C8" s="47" t="s">
        <v>567</v>
      </c>
      <c r="D8" s="48" t="s">
        <v>912</v>
      </c>
      <c r="E8" s="48" t="s">
        <v>913</v>
      </c>
      <c r="F8" s="47" t="s">
        <v>914</v>
      </c>
      <c r="G8" s="47" t="s">
        <v>915</v>
      </c>
      <c r="H8" s="47" t="s">
        <v>916</v>
      </c>
      <c r="I8" s="47">
        <v>1</v>
      </c>
      <c r="J8" s="47">
        <v>1</v>
      </c>
      <c r="K8" s="47" t="s">
        <v>917</v>
      </c>
      <c r="L8" s="47" t="s">
        <v>568</v>
      </c>
      <c r="M8" s="47">
        <v>2012</v>
      </c>
      <c r="N8" s="33" t="str">
        <f>HYPERLINK("http://services.igi-global.com/resolvedoi/resolve.aspx?doi=10.4018/978-1-61350-038-5")</f>
        <v>http://services.igi-global.com/resolvedoi/resolve.aspx?doi=10.4018/978-1-61350-038-5</v>
      </c>
    </row>
    <row r="9" spans="1:14">
      <c r="A9" s="47">
        <v>8</v>
      </c>
      <c r="B9" s="47" t="s">
        <v>571</v>
      </c>
      <c r="C9" s="47" t="s">
        <v>567</v>
      </c>
      <c r="D9" s="48" t="s">
        <v>514</v>
      </c>
      <c r="E9" s="48" t="s">
        <v>1288</v>
      </c>
      <c r="F9" s="47" t="s">
        <v>1289</v>
      </c>
      <c r="G9" s="47" t="s">
        <v>1290</v>
      </c>
      <c r="H9" s="47" t="s">
        <v>1291</v>
      </c>
      <c r="I9" s="47">
        <v>1</v>
      </c>
      <c r="J9" s="47">
        <v>1</v>
      </c>
      <c r="K9" s="47" t="s">
        <v>1292</v>
      </c>
      <c r="L9" s="47" t="s">
        <v>568</v>
      </c>
      <c r="M9" s="47">
        <v>2012</v>
      </c>
      <c r="N9" s="33" t="str">
        <f>HYPERLINK("http://services.igi-global.com/resolvedoi/resolve.aspx?doi=10.4018/978-1-46661-779-7")</f>
        <v>http://services.igi-global.com/resolvedoi/resolve.aspx?doi=10.4018/978-1-46661-779-7</v>
      </c>
    </row>
    <row r="10" spans="1:14">
      <c r="A10" s="47">
        <v>9</v>
      </c>
      <c r="B10" s="47" t="s">
        <v>571</v>
      </c>
      <c r="C10" s="47" t="s">
        <v>567</v>
      </c>
      <c r="D10" s="48" t="s">
        <v>514</v>
      </c>
      <c r="E10" s="48" t="s">
        <v>713</v>
      </c>
      <c r="F10" s="47" t="s">
        <v>714</v>
      </c>
      <c r="G10" s="47" t="s">
        <v>715</v>
      </c>
      <c r="H10" s="47" t="s">
        <v>716</v>
      </c>
      <c r="I10" s="47">
        <v>1</v>
      </c>
      <c r="J10" s="47">
        <v>1</v>
      </c>
      <c r="K10" s="47" t="s">
        <v>717</v>
      </c>
      <c r="L10" s="47" t="s">
        <v>568</v>
      </c>
      <c r="M10" s="47">
        <v>2012</v>
      </c>
      <c r="N10" s="33" t="str">
        <f>HYPERLINK("http://services.igi-global.com/resolvedoi/resolve.aspx?doi=10.4018/978-1-61350-311-9")</f>
        <v>http://services.igi-global.com/resolvedoi/resolve.aspx?doi=10.4018/978-1-61350-311-9</v>
      </c>
    </row>
    <row r="11" spans="1:14">
      <c r="A11" s="47">
        <v>10</v>
      </c>
      <c r="B11" s="47" t="s">
        <v>571</v>
      </c>
      <c r="C11" s="47" t="s">
        <v>567</v>
      </c>
      <c r="D11" s="48" t="s">
        <v>718</v>
      </c>
      <c r="E11" s="48" t="s">
        <v>719</v>
      </c>
      <c r="F11" s="47" t="s">
        <v>720</v>
      </c>
      <c r="G11" s="47" t="s">
        <v>721</v>
      </c>
      <c r="H11" s="47" t="s">
        <v>722</v>
      </c>
      <c r="I11" s="47">
        <v>1</v>
      </c>
      <c r="J11" s="47">
        <v>1</v>
      </c>
      <c r="K11" s="47" t="s">
        <v>706</v>
      </c>
      <c r="L11" s="47" t="s">
        <v>568</v>
      </c>
      <c r="M11" s="47">
        <v>2012</v>
      </c>
      <c r="N11" s="33" t="str">
        <f>HYPERLINK("http://services.igi-global.com/resolvedoi/resolve.aspx?doi=10.4018/978-1-61350-314-0")</f>
        <v>http://services.igi-global.com/resolvedoi/resolve.aspx?doi=10.4018/978-1-61350-314-0</v>
      </c>
    </row>
    <row r="12" spans="1:14">
      <c r="A12" s="47">
        <v>11</v>
      </c>
      <c r="B12" s="47" t="s">
        <v>571</v>
      </c>
      <c r="C12" s="47" t="s">
        <v>567</v>
      </c>
      <c r="D12" s="48" t="s">
        <v>492</v>
      </c>
      <c r="E12" s="48" t="s">
        <v>409</v>
      </c>
      <c r="F12" s="47" t="s">
        <v>410</v>
      </c>
      <c r="G12" s="47" t="s">
        <v>411</v>
      </c>
      <c r="H12" s="47" t="s">
        <v>412</v>
      </c>
      <c r="I12" s="47">
        <v>1</v>
      </c>
      <c r="J12" s="47">
        <v>1</v>
      </c>
      <c r="K12" s="47" t="s">
        <v>413</v>
      </c>
      <c r="L12" s="47" t="s">
        <v>568</v>
      </c>
      <c r="M12" s="47">
        <v>2012</v>
      </c>
      <c r="N12" s="33" t="str">
        <f>HYPERLINK("http://services.igi-global.com/resolvedoi/resolve.aspx?doi=10.4018/978-1-46660-065-2")</f>
        <v>http://services.igi-global.com/resolvedoi/resolve.aspx?doi=10.4018/978-1-46660-065-2</v>
      </c>
    </row>
    <row r="13" spans="1:14">
      <c r="A13" s="47">
        <v>12</v>
      </c>
      <c r="B13" s="47" t="s">
        <v>571</v>
      </c>
      <c r="C13" s="47" t="s">
        <v>567</v>
      </c>
      <c r="D13" s="48" t="s">
        <v>156</v>
      </c>
      <c r="E13" s="48" t="s">
        <v>157</v>
      </c>
      <c r="F13" s="47" t="s">
        <v>158</v>
      </c>
      <c r="G13" s="47" t="s">
        <v>159</v>
      </c>
      <c r="H13" s="47" t="s">
        <v>160</v>
      </c>
      <c r="I13" s="47">
        <v>1</v>
      </c>
      <c r="J13" s="47">
        <v>1</v>
      </c>
      <c r="K13" s="47" t="s">
        <v>161</v>
      </c>
      <c r="L13" s="47" t="s">
        <v>568</v>
      </c>
      <c r="M13" s="47">
        <v>2012</v>
      </c>
      <c r="N13" s="33" t="str">
        <f>HYPERLINK("http://services.igi-global.com/resolvedoi/resolve.aspx?doi=10.4018/978-1-46660-306-6")</f>
        <v>http://services.igi-global.com/resolvedoi/resolve.aspx?doi=10.4018/978-1-46660-306-6</v>
      </c>
    </row>
    <row r="14" spans="1:14">
      <c r="A14" s="47">
        <v>13</v>
      </c>
      <c r="B14" s="47" t="s">
        <v>571</v>
      </c>
      <c r="C14" s="47" t="s">
        <v>567</v>
      </c>
      <c r="D14" s="48" t="s">
        <v>977</v>
      </c>
      <c r="E14" s="48" t="s">
        <v>978</v>
      </c>
      <c r="F14" s="47" t="s">
        <v>979</v>
      </c>
      <c r="G14" s="47" t="s">
        <v>980</v>
      </c>
      <c r="H14" s="47" t="s">
        <v>981</v>
      </c>
      <c r="I14" s="47">
        <v>1</v>
      </c>
      <c r="J14" s="47">
        <v>1</v>
      </c>
      <c r="K14" s="47" t="s">
        <v>982</v>
      </c>
      <c r="L14" s="47" t="s">
        <v>568</v>
      </c>
      <c r="M14" s="47">
        <v>2012</v>
      </c>
      <c r="N14" s="33" t="str">
        <f>HYPERLINK("http://services.igi-global.com/resolvedoi/resolve.aspx?doi=10.4018/978-1-61350-044-6")</f>
        <v>http://services.igi-global.com/resolvedoi/resolve.aspx?doi=10.4018/978-1-61350-044-6</v>
      </c>
    </row>
    <row r="15" spans="1:14">
      <c r="A15" s="47">
        <v>14</v>
      </c>
      <c r="B15" s="47" t="s">
        <v>571</v>
      </c>
      <c r="C15" s="47" t="s">
        <v>567</v>
      </c>
      <c r="D15" s="48" t="s">
        <v>1404</v>
      </c>
      <c r="E15" s="48" t="s">
        <v>1405</v>
      </c>
      <c r="F15" s="47" t="s">
        <v>1406</v>
      </c>
      <c r="G15" s="47" t="s">
        <v>1407</v>
      </c>
      <c r="H15" s="47" t="s">
        <v>1408</v>
      </c>
      <c r="I15" s="47">
        <v>1</v>
      </c>
      <c r="J15" s="47">
        <v>1</v>
      </c>
      <c r="K15" s="47" t="s">
        <v>572</v>
      </c>
      <c r="L15" s="47" t="s">
        <v>568</v>
      </c>
      <c r="M15" s="47">
        <v>2012</v>
      </c>
      <c r="N15" s="33" t="str">
        <f>HYPERLINK("http://services.igi-global.com/resolvedoi/resolve.aspx?doi=10.4018/978-1-46661-589-2")</f>
        <v>http://services.igi-global.com/resolvedoi/resolve.aspx?doi=10.4018/978-1-46661-589-2</v>
      </c>
    </row>
    <row r="16" spans="1:14">
      <c r="A16" s="47">
        <v>15</v>
      </c>
      <c r="B16" s="47" t="s">
        <v>571</v>
      </c>
      <c r="C16" s="47" t="s">
        <v>567</v>
      </c>
      <c r="D16" s="48" t="s">
        <v>489</v>
      </c>
      <c r="E16" s="48" t="s">
        <v>1315</v>
      </c>
      <c r="F16" s="47" t="s">
        <v>1316</v>
      </c>
      <c r="G16" s="47" t="s">
        <v>1317</v>
      </c>
      <c r="H16" s="47" t="s">
        <v>1318</v>
      </c>
      <c r="I16" s="47">
        <v>1</v>
      </c>
      <c r="J16" s="47">
        <v>1</v>
      </c>
      <c r="K16" s="47" t="s">
        <v>578</v>
      </c>
      <c r="L16" s="47" t="s">
        <v>568</v>
      </c>
      <c r="M16" s="47">
        <v>2012</v>
      </c>
      <c r="N16" s="33" t="str">
        <f>HYPERLINK("http://services.igi-global.com/resolvedoi/resolve.aspx?doi=10.4018/978-1-46661-800-8")</f>
        <v>http://services.igi-global.com/resolvedoi/resolve.aspx?doi=10.4018/978-1-46661-800-8</v>
      </c>
    </row>
    <row r="17" spans="1:14">
      <c r="A17" s="47">
        <v>16</v>
      </c>
      <c r="B17" s="47" t="s">
        <v>571</v>
      </c>
      <c r="C17" s="47" t="s">
        <v>567</v>
      </c>
      <c r="D17" s="48" t="s">
        <v>489</v>
      </c>
      <c r="E17" s="48" t="s">
        <v>1420</v>
      </c>
      <c r="F17" s="47" t="s">
        <v>1421</v>
      </c>
      <c r="G17" s="47" t="s">
        <v>1422</v>
      </c>
      <c r="H17" s="47" t="s">
        <v>1423</v>
      </c>
      <c r="I17" s="47">
        <v>3</v>
      </c>
      <c r="J17" s="47">
        <v>1</v>
      </c>
      <c r="K17" s="47" t="s">
        <v>1424</v>
      </c>
      <c r="L17" s="47" t="s">
        <v>568</v>
      </c>
      <c r="M17" s="47">
        <v>2012</v>
      </c>
      <c r="N17" s="33" t="str">
        <f>HYPERLINK("http://services.igi-global.com/resolvedoi/resolve.aspx?doi=10.4018/978-1-46661-598-4")</f>
        <v>http://services.igi-global.com/resolvedoi/resolve.aspx?doi=10.4018/978-1-46661-598-4</v>
      </c>
    </row>
    <row r="18" spans="1:14">
      <c r="A18" s="47">
        <v>17</v>
      </c>
      <c r="B18" s="47" t="s">
        <v>571</v>
      </c>
      <c r="C18" s="47" t="s">
        <v>567</v>
      </c>
      <c r="D18" s="48" t="s">
        <v>491</v>
      </c>
      <c r="E18" s="48" t="s">
        <v>1262</v>
      </c>
      <c r="F18" s="47" t="s">
        <v>1263</v>
      </c>
      <c r="G18" s="47" t="s">
        <v>1264</v>
      </c>
      <c r="H18" s="47" t="s">
        <v>1265</v>
      </c>
      <c r="I18" s="47">
        <v>1</v>
      </c>
      <c r="J18" s="47">
        <v>1</v>
      </c>
      <c r="K18" s="47" t="s">
        <v>572</v>
      </c>
      <c r="L18" s="47" t="s">
        <v>568</v>
      </c>
      <c r="M18" s="47">
        <v>2012</v>
      </c>
      <c r="N18" s="33" t="str">
        <f>HYPERLINK("http://services.igi-global.com/resolvedoi/resolve.aspx?doi=10.4018/978-1-46661-761-2")</f>
        <v>http://services.igi-global.com/resolvedoi/resolve.aspx?doi=10.4018/978-1-46661-761-2</v>
      </c>
    </row>
    <row r="19" spans="1:14">
      <c r="A19" s="47">
        <v>18</v>
      </c>
      <c r="B19" s="47" t="s">
        <v>571</v>
      </c>
      <c r="C19" s="47" t="s">
        <v>567</v>
      </c>
      <c r="D19" s="48" t="s">
        <v>452</v>
      </c>
      <c r="E19" s="48" t="s">
        <v>453</v>
      </c>
      <c r="F19" s="47" t="s">
        <v>454</v>
      </c>
      <c r="G19" s="47" t="s">
        <v>455</v>
      </c>
      <c r="H19" s="47" t="s">
        <v>456</v>
      </c>
      <c r="I19" s="47">
        <v>1</v>
      </c>
      <c r="J19" s="47">
        <v>1</v>
      </c>
      <c r="K19" s="47" t="s">
        <v>457</v>
      </c>
      <c r="L19" s="47" t="s">
        <v>568</v>
      </c>
      <c r="M19" s="47">
        <v>2012</v>
      </c>
      <c r="N19" s="33" t="str">
        <f>HYPERLINK("http://services.igi-global.com/resolvedoi/resolve.aspx?doi=10.4018/978-1-46660-095-9")</f>
        <v>http://services.igi-global.com/resolvedoi/resolve.aspx?doi=10.4018/978-1-46660-095-9</v>
      </c>
    </row>
    <row r="20" spans="1:14">
      <c r="A20" s="47">
        <v>19</v>
      </c>
      <c r="B20" s="47" t="s">
        <v>571</v>
      </c>
      <c r="C20" s="47" t="s">
        <v>567</v>
      </c>
      <c r="D20" s="48" t="s">
        <v>938</v>
      </c>
      <c r="E20" s="48" t="s">
        <v>939</v>
      </c>
      <c r="F20" s="47" t="s">
        <v>940</v>
      </c>
      <c r="G20" s="47" t="s">
        <v>941</v>
      </c>
      <c r="H20" s="47" t="s">
        <v>942</v>
      </c>
      <c r="I20" s="47">
        <v>1</v>
      </c>
      <c r="J20" s="47">
        <v>1</v>
      </c>
      <c r="K20" s="47" t="s">
        <v>943</v>
      </c>
      <c r="L20" s="47" t="s">
        <v>568</v>
      </c>
      <c r="M20" s="47">
        <v>2012</v>
      </c>
      <c r="N20" s="33" t="str">
        <f>HYPERLINK("http://services.igi-global.com/resolvedoi/resolve.aspx?doi=10.4018/978-1-61350-041-5")</f>
        <v>http://services.igi-global.com/resolvedoi/resolve.aspx?doi=10.4018/978-1-61350-041-5</v>
      </c>
    </row>
    <row r="21" spans="1:14">
      <c r="A21" s="47">
        <v>20</v>
      </c>
      <c r="B21" s="47" t="s">
        <v>571</v>
      </c>
      <c r="C21" s="47" t="s">
        <v>567</v>
      </c>
      <c r="D21" s="48" t="s">
        <v>489</v>
      </c>
      <c r="E21" s="48" t="s">
        <v>234</v>
      </c>
      <c r="F21" s="47" t="s">
        <v>235</v>
      </c>
      <c r="G21" s="47" t="s">
        <v>236</v>
      </c>
      <c r="H21" s="47" t="s">
        <v>237</v>
      </c>
      <c r="I21" s="47">
        <v>2</v>
      </c>
      <c r="J21" s="47">
        <v>1</v>
      </c>
      <c r="K21" s="47" t="s">
        <v>580</v>
      </c>
      <c r="L21" s="47" t="s">
        <v>568</v>
      </c>
      <c r="M21" s="47">
        <v>2012</v>
      </c>
      <c r="N21" s="33" t="str">
        <f>HYPERLINK("http://services.igi-global.com/resolvedoi/resolve.aspx?doi=10.4018/978-1-46660-146-8")</f>
        <v>http://services.igi-global.com/resolvedoi/resolve.aspx?doi=10.4018/978-1-46660-146-8</v>
      </c>
    </row>
    <row r="22" spans="1:14">
      <c r="A22" s="47">
        <v>21</v>
      </c>
      <c r="B22" s="47" t="s">
        <v>571</v>
      </c>
      <c r="C22" s="47" t="s">
        <v>567</v>
      </c>
      <c r="D22" s="48" t="s">
        <v>490</v>
      </c>
      <c r="E22" s="48" t="s">
        <v>248</v>
      </c>
      <c r="F22" s="47" t="s">
        <v>249</v>
      </c>
      <c r="G22" s="47" t="s">
        <v>250</v>
      </c>
      <c r="H22" s="47" t="s">
        <v>251</v>
      </c>
      <c r="I22" s="47">
        <v>1</v>
      </c>
      <c r="J22" s="47">
        <v>1</v>
      </c>
      <c r="K22" s="47" t="s">
        <v>252</v>
      </c>
      <c r="L22" s="47" t="s">
        <v>568</v>
      </c>
      <c r="M22" s="47">
        <v>2012</v>
      </c>
      <c r="N22" s="33" t="str">
        <f>HYPERLINK("http://services.igi-global.com/resolvedoi/resolve.aspx?doi=10.4018/978-1-46660-155-0")</f>
        <v>http://services.igi-global.com/resolvedoi/resolve.aspx?doi=10.4018/978-1-46660-155-0</v>
      </c>
    </row>
    <row r="23" spans="1:14">
      <c r="A23" s="47">
        <v>22</v>
      </c>
      <c r="B23" s="47" t="s">
        <v>571</v>
      </c>
      <c r="C23" s="47" t="s">
        <v>567</v>
      </c>
      <c r="D23" s="48" t="s">
        <v>492</v>
      </c>
      <c r="E23" s="48" t="s">
        <v>1587</v>
      </c>
      <c r="F23" s="47" t="s">
        <v>1588</v>
      </c>
      <c r="G23" s="47" t="s">
        <v>1589</v>
      </c>
      <c r="H23" s="47" t="s">
        <v>1590</v>
      </c>
      <c r="I23" s="47">
        <v>1</v>
      </c>
      <c r="J23" s="47">
        <v>1</v>
      </c>
      <c r="K23" s="47" t="s">
        <v>547</v>
      </c>
      <c r="L23" s="47" t="s">
        <v>568</v>
      </c>
      <c r="M23" s="47">
        <v>2012</v>
      </c>
      <c r="N23" s="33" t="str">
        <f>HYPERLINK("http://services.igi-global.com/resolvedoi/resolve.aspx?doi=10.4018/978-1-46660-918-1")</f>
        <v>http://services.igi-global.com/resolvedoi/resolve.aspx?doi=10.4018/978-1-46660-918-1</v>
      </c>
    </row>
    <row r="24" spans="1:14">
      <c r="A24" s="47">
        <v>23</v>
      </c>
      <c r="B24" s="47" t="s">
        <v>571</v>
      </c>
      <c r="C24" s="47" t="s">
        <v>567</v>
      </c>
      <c r="D24" s="48" t="s">
        <v>1430</v>
      </c>
      <c r="E24" s="48" t="s">
        <v>1604</v>
      </c>
      <c r="F24" s="47" t="s">
        <v>1605</v>
      </c>
      <c r="G24" s="47" t="s">
        <v>1606</v>
      </c>
      <c r="H24" s="47" t="s">
        <v>1607</v>
      </c>
      <c r="I24" s="47">
        <v>1</v>
      </c>
      <c r="J24" s="47">
        <v>1</v>
      </c>
      <c r="K24" s="47" t="s">
        <v>547</v>
      </c>
      <c r="L24" s="47" t="s">
        <v>568</v>
      </c>
      <c r="M24" s="47">
        <v>2012</v>
      </c>
      <c r="N24" s="33" t="str">
        <f>HYPERLINK("http://services.igi-global.com/resolvedoi/resolve.aspx?doi=10.4018/978-1-46660-933-4")</f>
        <v>http://services.igi-global.com/resolvedoi/resolve.aspx?doi=10.4018/978-1-46660-933-4</v>
      </c>
    </row>
    <row r="25" spans="1:14">
      <c r="A25" s="47">
        <v>24</v>
      </c>
      <c r="B25" s="47" t="s">
        <v>571</v>
      </c>
      <c r="C25" s="47" t="s">
        <v>567</v>
      </c>
      <c r="D25" s="48" t="s">
        <v>93</v>
      </c>
      <c r="E25" s="48" t="s">
        <v>94</v>
      </c>
      <c r="F25" s="47" t="s">
        <v>95</v>
      </c>
      <c r="G25" s="47" t="s">
        <v>96</v>
      </c>
      <c r="H25" s="47" t="s">
        <v>97</v>
      </c>
      <c r="I25" s="47">
        <v>1</v>
      </c>
      <c r="J25" s="47">
        <v>1</v>
      </c>
      <c r="K25" s="47" t="s">
        <v>98</v>
      </c>
      <c r="L25" s="47" t="s">
        <v>568</v>
      </c>
      <c r="M25" s="47">
        <v>2012</v>
      </c>
      <c r="N25" s="33" t="str">
        <f>HYPERLINK("http://services.igi-global.com/resolvedoi/resolve.aspx?doi=10.4018/978-1-46660-267-0")</f>
        <v>http://services.igi-global.com/resolvedoi/resolve.aspx?doi=10.4018/978-1-46660-267-0</v>
      </c>
    </row>
    <row r="26" spans="1:14">
      <c r="A26" s="47">
        <v>25</v>
      </c>
      <c r="B26" s="47" t="s">
        <v>571</v>
      </c>
      <c r="C26" s="47" t="s">
        <v>567</v>
      </c>
      <c r="D26" s="48" t="s">
        <v>1378</v>
      </c>
      <c r="E26" s="48" t="s">
        <v>1379</v>
      </c>
      <c r="F26" s="47" t="s">
        <v>1380</v>
      </c>
      <c r="G26" s="47" t="s">
        <v>1381</v>
      </c>
      <c r="H26" s="47" t="s">
        <v>1382</v>
      </c>
      <c r="I26" s="47">
        <v>1</v>
      </c>
      <c r="J26" s="47">
        <v>1</v>
      </c>
      <c r="K26" s="47" t="s">
        <v>570</v>
      </c>
      <c r="L26" s="47" t="s">
        <v>568</v>
      </c>
      <c r="M26" s="47">
        <v>2012</v>
      </c>
      <c r="N26" s="33" t="str">
        <f>HYPERLINK("http://services.igi-global.com/resolvedoi/resolve.aspx?doi=10.4018/978-1-46661-568-7")</f>
        <v>http://services.igi-global.com/resolvedoi/resolve.aspx?doi=10.4018/978-1-46661-568-7</v>
      </c>
    </row>
    <row r="27" spans="1:14">
      <c r="A27" s="47">
        <v>26</v>
      </c>
      <c r="B27" s="47" t="s">
        <v>571</v>
      </c>
      <c r="C27" s="47" t="s">
        <v>567</v>
      </c>
      <c r="D27" s="48" t="s">
        <v>491</v>
      </c>
      <c r="E27" s="48" t="s">
        <v>262</v>
      </c>
      <c r="F27" s="47" t="s">
        <v>263</v>
      </c>
      <c r="G27" s="47" t="s">
        <v>264</v>
      </c>
      <c r="H27" s="47" t="s">
        <v>265</v>
      </c>
      <c r="I27" s="47">
        <v>1</v>
      </c>
      <c r="J27" s="47">
        <v>1</v>
      </c>
      <c r="K27" s="47" t="s">
        <v>266</v>
      </c>
      <c r="L27" s="47" t="s">
        <v>568</v>
      </c>
      <c r="M27" s="47">
        <v>2012</v>
      </c>
      <c r="N27" s="33" t="str">
        <f>HYPERLINK("http://services.igi-global.com/resolvedoi/resolve.aspx?doi=10.4018/978-1-46660-164-2")</f>
        <v>http://services.igi-global.com/resolvedoi/resolve.aspx?doi=10.4018/978-1-46660-164-2</v>
      </c>
    </row>
    <row r="28" spans="1:14">
      <c r="A28" s="47">
        <v>27</v>
      </c>
      <c r="B28" s="47" t="s">
        <v>571</v>
      </c>
      <c r="C28" s="47" t="s">
        <v>567</v>
      </c>
      <c r="D28" s="48" t="s">
        <v>491</v>
      </c>
      <c r="E28" s="48" t="s">
        <v>272</v>
      </c>
      <c r="F28" s="47" t="s">
        <v>273</v>
      </c>
      <c r="G28" s="47" t="s">
        <v>274</v>
      </c>
      <c r="H28" s="47" t="s">
        <v>275</v>
      </c>
      <c r="I28" s="47">
        <v>1</v>
      </c>
      <c r="J28" s="47">
        <v>1</v>
      </c>
      <c r="K28" s="47" t="s">
        <v>276</v>
      </c>
      <c r="L28" s="47" t="s">
        <v>568</v>
      </c>
      <c r="M28" s="47">
        <v>2012</v>
      </c>
      <c r="N28" s="33" t="str">
        <f>HYPERLINK("http://services.igi-global.com/resolvedoi/resolve.aspx?doi=10.4018/978-1-46660-170-3")</f>
        <v>http://services.igi-global.com/resolvedoi/resolve.aspx?doi=10.4018/978-1-46660-170-3</v>
      </c>
    </row>
    <row r="29" spans="1:14">
      <c r="A29" s="47">
        <v>28</v>
      </c>
      <c r="B29" s="47" t="s">
        <v>571</v>
      </c>
      <c r="C29" s="47" t="s">
        <v>567</v>
      </c>
      <c r="D29" s="48" t="s">
        <v>526</v>
      </c>
      <c r="E29" s="48" t="s">
        <v>1535</v>
      </c>
      <c r="F29" s="47" t="s">
        <v>1536</v>
      </c>
      <c r="G29" s="47" t="s">
        <v>1537</v>
      </c>
      <c r="H29" s="47" t="s">
        <v>1538</v>
      </c>
      <c r="I29" s="47">
        <v>1</v>
      </c>
      <c r="J29" s="47">
        <v>1</v>
      </c>
      <c r="K29" s="47" t="s">
        <v>1539</v>
      </c>
      <c r="L29" s="47" t="s">
        <v>568</v>
      </c>
      <c r="M29" s="47">
        <v>2012</v>
      </c>
      <c r="N29" s="33" t="str">
        <f>HYPERLINK("http://services.igi-global.com/resolvedoi/resolve.aspx?doi=10.4018/978-1-46660-885-6")</f>
        <v>http://services.igi-global.com/resolvedoi/resolve.aspx?doi=10.4018/978-1-46660-885-6</v>
      </c>
    </row>
    <row r="30" spans="1:14">
      <c r="A30" s="47">
        <v>29</v>
      </c>
      <c r="B30" s="47" t="s">
        <v>571</v>
      </c>
      <c r="C30" s="47" t="s">
        <v>567</v>
      </c>
      <c r="D30" s="48" t="s">
        <v>515</v>
      </c>
      <c r="E30" s="48" t="s">
        <v>835</v>
      </c>
      <c r="F30" s="47" t="s">
        <v>836</v>
      </c>
      <c r="G30" s="47" t="s">
        <v>837</v>
      </c>
      <c r="H30" s="47" t="s">
        <v>838</v>
      </c>
      <c r="I30" s="47">
        <v>1</v>
      </c>
      <c r="J30" s="47">
        <v>1</v>
      </c>
      <c r="K30" s="47" t="s">
        <v>839</v>
      </c>
      <c r="L30" s="47" t="s">
        <v>568</v>
      </c>
      <c r="M30" s="47">
        <v>2012</v>
      </c>
      <c r="N30" s="33" t="str">
        <f>HYPERLINK("http://services.igi-global.com/resolvedoi/resolve.aspx?doi=10.4018/978-1-61350-047-7")</f>
        <v>http://services.igi-global.com/resolvedoi/resolve.aspx?doi=10.4018/978-1-61350-047-7</v>
      </c>
    </row>
    <row r="31" spans="1:14">
      <c r="A31" s="47">
        <v>30</v>
      </c>
      <c r="B31" s="47" t="s">
        <v>571</v>
      </c>
      <c r="C31" s="47" t="s">
        <v>567</v>
      </c>
      <c r="D31" s="48" t="s">
        <v>503</v>
      </c>
      <c r="E31" s="48" t="s">
        <v>110</v>
      </c>
      <c r="F31" s="47" t="s">
        <v>111</v>
      </c>
      <c r="G31" s="47" t="s">
        <v>112</v>
      </c>
      <c r="H31" s="47" t="s">
        <v>113</v>
      </c>
      <c r="I31" s="47">
        <v>1</v>
      </c>
      <c r="J31" s="47">
        <v>1</v>
      </c>
      <c r="K31" s="47" t="s">
        <v>114</v>
      </c>
      <c r="L31" s="47" t="s">
        <v>568</v>
      </c>
      <c r="M31" s="47">
        <v>2012</v>
      </c>
      <c r="N31" s="33" t="str">
        <f>HYPERLINK("http://services.igi-global.com/resolvedoi/resolve.aspx?doi=10.4018/978-1-46660-279-3")</f>
        <v>http://services.igi-global.com/resolvedoi/resolve.aspx?doi=10.4018/978-1-46660-279-3</v>
      </c>
    </row>
    <row r="32" spans="1:14">
      <c r="A32" s="47">
        <v>31</v>
      </c>
      <c r="B32" s="47" t="s">
        <v>571</v>
      </c>
      <c r="C32" s="47" t="s">
        <v>567</v>
      </c>
      <c r="D32" s="48" t="s">
        <v>491</v>
      </c>
      <c r="E32" s="48" t="s">
        <v>1266</v>
      </c>
      <c r="F32" s="47" t="s">
        <v>1267</v>
      </c>
      <c r="G32" s="47" t="s">
        <v>1268</v>
      </c>
      <c r="H32" s="47" t="s">
        <v>1269</v>
      </c>
      <c r="I32" s="47">
        <v>1</v>
      </c>
      <c r="J32" s="47">
        <v>1</v>
      </c>
      <c r="K32" s="47" t="s">
        <v>1270</v>
      </c>
      <c r="L32" s="47" t="s">
        <v>568</v>
      </c>
      <c r="M32" s="47">
        <v>2012</v>
      </c>
      <c r="N32" s="33" t="str">
        <f>HYPERLINK("http://services.igi-global.com/resolvedoi/resolve.aspx?doi=10.4018/978-1-46661-764-3")</f>
        <v>http://services.igi-global.com/resolvedoi/resolve.aspx?doi=10.4018/978-1-46661-764-3</v>
      </c>
    </row>
    <row r="33" spans="1:14">
      <c r="A33" s="47">
        <v>32</v>
      </c>
      <c r="B33" s="47" t="s">
        <v>571</v>
      </c>
      <c r="C33" s="47" t="s">
        <v>567</v>
      </c>
      <c r="D33" s="48" t="s">
        <v>808</v>
      </c>
      <c r="E33" s="48" t="s">
        <v>809</v>
      </c>
      <c r="F33" s="47" t="s">
        <v>810</v>
      </c>
      <c r="G33" s="47" t="s">
        <v>811</v>
      </c>
      <c r="H33" s="47" t="s">
        <v>812</v>
      </c>
      <c r="I33" s="47">
        <v>1</v>
      </c>
      <c r="J33" s="47">
        <v>1</v>
      </c>
      <c r="K33" s="47" t="s">
        <v>813</v>
      </c>
      <c r="L33" s="47" t="s">
        <v>568</v>
      </c>
      <c r="M33" s="47">
        <v>2012</v>
      </c>
      <c r="N33" s="33" t="str">
        <f>HYPERLINK("http://services.igi-global.com/resolvedoi/resolve.aspx?doi=10.4018/978-1-60960-126-3")</f>
        <v>http://services.igi-global.com/resolvedoi/resolve.aspx?doi=10.4018/978-1-60960-126-3</v>
      </c>
    </row>
    <row r="34" spans="1:14">
      <c r="A34" s="47">
        <v>33</v>
      </c>
      <c r="B34" s="47" t="s">
        <v>571</v>
      </c>
      <c r="C34" s="47" t="s">
        <v>567</v>
      </c>
      <c r="D34" s="48" t="s">
        <v>493</v>
      </c>
      <c r="E34" s="48" t="s">
        <v>733</v>
      </c>
      <c r="F34" s="47" t="s">
        <v>734</v>
      </c>
      <c r="G34" s="47" t="s">
        <v>735</v>
      </c>
      <c r="H34" s="47" t="s">
        <v>736</v>
      </c>
      <c r="I34" s="47">
        <v>1</v>
      </c>
      <c r="J34" s="47">
        <v>1</v>
      </c>
      <c r="K34" s="47" t="s">
        <v>737</v>
      </c>
      <c r="L34" s="47" t="s">
        <v>569</v>
      </c>
      <c r="M34" s="47">
        <v>2012</v>
      </c>
      <c r="N34" s="33" t="str">
        <f>HYPERLINK("http://services.igi-global.com/resolvedoi/resolve.aspx?doi=10.4018/978-1-61350-159-7")</f>
        <v>http://services.igi-global.com/resolvedoi/resolve.aspx?doi=10.4018/978-1-61350-159-7</v>
      </c>
    </row>
    <row r="35" spans="1:14">
      <c r="A35" s="47">
        <v>34</v>
      </c>
      <c r="B35" s="47" t="s">
        <v>571</v>
      </c>
      <c r="C35" s="47" t="s">
        <v>567</v>
      </c>
      <c r="D35" s="48" t="s">
        <v>1352</v>
      </c>
      <c r="E35" s="48" t="s">
        <v>426</v>
      </c>
      <c r="F35" s="47" t="s">
        <v>427</v>
      </c>
      <c r="G35" s="47" t="s">
        <v>428</v>
      </c>
      <c r="H35" s="47" t="s">
        <v>429</v>
      </c>
      <c r="I35" s="47">
        <v>1</v>
      </c>
      <c r="J35" s="47">
        <v>1</v>
      </c>
      <c r="K35" s="47" t="s">
        <v>430</v>
      </c>
      <c r="L35" s="47" t="s">
        <v>568</v>
      </c>
      <c r="M35" s="47">
        <v>2012</v>
      </c>
      <c r="N35" s="33" t="str">
        <f>HYPERLINK("http://services.igi-global.com/resolvedoi/resolve.aspx?doi=10.4018/978-1-46660-077-5")</f>
        <v>http://services.igi-global.com/resolvedoi/resolve.aspx?doi=10.4018/978-1-46660-077-5</v>
      </c>
    </row>
    <row r="36" spans="1:14">
      <c r="A36" s="47">
        <v>35</v>
      </c>
      <c r="B36" s="47" t="s">
        <v>571</v>
      </c>
      <c r="C36" s="47" t="s">
        <v>567</v>
      </c>
      <c r="D36" s="48" t="s">
        <v>1430</v>
      </c>
      <c r="E36" s="48" t="s">
        <v>1431</v>
      </c>
      <c r="F36" s="47" t="s">
        <v>1432</v>
      </c>
      <c r="G36" s="47" t="s">
        <v>1433</v>
      </c>
      <c r="H36" s="47" t="s">
        <v>1434</v>
      </c>
      <c r="I36" s="47">
        <v>1</v>
      </c>
      <c r="J36" s="47">
        <v>1</v>
      </c>
      <c r="K36" s="47" t="s">
        <v>1435</v>
      </c>
      <c r="L36" s="47" t="s">
        <v>568</v>
      </c>
      <c r="M36" s="47">
        <v>2012</v>
      </c>
      <c r="N36" s="33" t="str">
        <f>HYPERLINK("http://services.igi-global.com/resolvedoi/resolve.aspx?doi=10.4018/978-1-46661-604-2")</f>
        <v>http://services.igi-global.com/resolvedoi/resolve.aspx?doi=10.4018/978-1-46661-604-2</v>
      </c>
    </row>
    <row r="37" spans="1:14">
      <c r="A37" s="47">
        <v>36</v>
      </c>
      <c r="B37" s="47" t="s">
        <v>571</v>
      </c>
      <c r="C37" s="47" t="s">
        <v>567</v>
      </c>
      <c r="D37" s="48" t="s">
        <v>701</v>
      </c>
      <c r="E37" s="48" t="s">
        <v>702</v>
      </c>
      <c r="F37" s="47" t="s">
        <v>703</v>
      </c>
      <c r="G37" s="47" t="s">
        <v>704</v>
      </c>
      <c r="H37" s="47" t="s">
        <v>705</v>
      </c>
      <c r="I37" s="47">
        <v>1</v>
      </c>
      <c r="J37" s="47">
        <v>1</v>
      </c>
      <c r="K37" s="47" t="s">
        <v>706</v>
      </c>
      <c r="L37" s="47" t="s">
        <v>568</v>
      </c>
      <c r="M37" s="47">
        <v>2012</v>
      </c>
      <c r="N37" s="33" t="str">
        <f>HYPERLINK("http://services.igi-global.com/resolvedoi/resolve.aspx?doi=10.4018/978-1-61350-519-9")</f>
        <v>http://services.igi-global.com/resolvedoi/resolve.aspx?doi=10.4018/978-1-61350-519-9</v>
      </c>
    </row>
    <row r="38" spans="1:14">
      <c r="A38" s="47">
        <v>37</v>
      </c>
      <c r="B38" s="47" t="s">
        <v>571</v>
      </c>
      <c r="C38" s="47" t="s">
        <v>567</v>
      </c>
      <c r="D38" s="48" t="s">
        <v>489</v>
      </c>
      <c r="E38" s="48" t="s">
        <v>1452</v>
      </c>
      <c r="F38" s="47" t="s">
        <v>1453</v>
      </c>
      <c r="G38" s="47" t="s">
        <v>1454</v>
      </c>
      <c r="H38" s="47" t="s">
        <v>1455</v>
      </c>
      <c r="I38" s="47">
        <v>1</v>
      </c>
      <c r="J38" s="47">
        <v>1</v>
      </c>
      <c r="K38" s="47" t="s">
        <v>1456</v>
      </c>
      <c r="L38" s="47" t="s">
        <v>568</v>
      </c>
      <c r="M38" s="47">
        <v>2012</v>
      </c>
      <c r="N38" s="33" t="str">
        <f>HYPERLINK("http://services.igi-global.com/resolvedoi/resolve.aspx?doi=10.4018/978-1-46661-619-6")</f>
        <v>http://services.igi-global.com/resolvedoi/resolve.aspx?doi=10.4018/978-1-46661-619-6</v>
      </c>
    </row>
    <row r="39" spans="1:14">
      <c r="A39" s="47">
        <v>38</v>
      </c>
      <c r="B39" s="47" t="s">
        <v>571</v>
      </c>
      <c r="C39" s="47" t="s">
        <v>567</v>
      </c>
      <c r="D39" s="48" t="s">
        <v>121</v>
      </c>
      <c r="E39" s="48" t="s">
        <v>122</v>
      </c>
      <c r="F39" s="47" t="s">
        <v>123</v>
      </c>
      <c r="G39" s="47" t="s">
        <v>124</v>
      </c>
      <c r="H39" s="47" t="s">
        <v>125</v>
      </c>
      <c r="I39" s="47">
        <v>1</v>
      </c>
      <c r="J39" s="47">
        <v>1</v>
      </c>
      <c r="K39" s="47" t="s">
        <v>126</v>
      </c>
      <c r="L39" s="47" t="s">
        <v>568</v>
      </c>
      <c r="M39" s="47">
        <v>2012</v>
      </c>
      <c r="N39" s="33" t="str">
        <f>HYPERLINK("http://services.igi-global.com/resolvedoi/resolve.aspx?doi=10.4018/978-1-46660-288-5")</f>
        <v>http://services.igi-global.com/resolvedoi/resolve.aspx?doi=10.4018/978-1-46660-288-5</v>
      </c>
    </row>
    <row r="40" spans="1:14">
      <c r="A40" s="47">
        <v>39</v>
      </c>
      <c r="B40" s="47" t="s">
        <v>571</v>
      </c>
      <c r="C40" s="47" t="s">
        <v>567</v>
      </c>
      <c r="D40" s="48" t="s">
        <v>492</v>
      </c>
      <c r="E40" s="48" t="s">
        <v>680</v>
      </c>
      <c r="F40" s="47" t="s">
        <v>681</v>
      </c>
      <c r="G40" s="47" t="s">
        <v>682</v>
      </c>
      <c r="H40" s="47" t="s">
        <v>683</v>
      </c>
      <c r="I40" s="47">
        <v>1</v>
      </c>
      <c r="J40" s="47">
        <v>1</v>
      </c>
      <c r="K40" s="47" t="s">
        <v>684</v>
      </c>
      <c r="L40" s="47" t="s">
        <v>568</v>
      </c>
      <c r="M40" s="47">
        <v>2012</v>
      </c>
      <c r="N40" s="33" t="str">
        <f>HYPERLINK("http://services.igi-global.com/resolvedoi/resolve.aspx?doi=10.4018/978-1-61350-504-5")</f>
        <v>http://services.igi-global.com/resolvedoi/resolve.aspx?doi=10.4018/978-1-61350-504-5</v>
      </c>
    </row>
    <row r="41" spans="1:14">
      <c r="A41" s="47">
        <v>40</v>
      </c>
      <c r="B41" s="47" t="s">
        <v>571</v>
      </c>
      <c r="C41" s="47" t="s">
        <v>567</v>
      </c>
      <c r="D41" s="48" t="s">
        <v>25</v>
      </c>
      <c r="E41" s="48" t="s">
        <v>26</v>
      </c>
      <c r="F41" s="47" t="s">
        <v>27</v>
      </c>
      <c r="G41" s="47" t="s">
        <v>28</v>
      </c>
      <c r="H41" s="47" t="s">
        <v>29</v>
      </c>
      <c r="I41" s="47">
        <v>1</v>
      </c>
      <c r="J41" s="47">
        <v>1</v>
      </c>
      <c r="K41" s="47" t="s">
        <v>30</v>
      </c>
      <c r="L41" s="47" t="s">
        <v>568</v>
      </c>
      <c r="M41" s="47">
        <v>2012</v>
      </c>
      <c r="N41" s="33" t="str">
        <f>HYPERLINK("http://services.igi-global.com/resolvedoi/resolve.aspx?doi=10.4018/978-1-46660-969-3")</f>
        <v>http://services.igi-global.com/resolvedoi/resolve.aspx?doi=10.4018/978-1-46660-969-3</v>
      </c>
    </row>
    <row r="42" spans="1:14">
      <c r="A42" s="47">
        <v>41</v>
      </c>
      <c r="B42" s="47" t="s">
        <v>571</v>
      </c>
      <c r="C42" s="47" t="s">
        <v>567</v>
      </c>
      <c r="D42" s="48" t="s">
        <v>503</v>
      </c>
      <c r="E42" s="48" t="s">
        <v>1393</v>
      </c>
      <c r="F42" s="47" t="s">
        <v>1394</v>
      </c>
      <c r="G42" s="47" t="s">
        <v>1395</v>
      </c>
      <c r="H42" s="47" t="s">
        <v>1396</v>
      </c>
      <c r="I42" s="47">
        <v>1</v>
      </c>
      <c r="J42" s="47">
        <v>1</v>
      </c>
      <c r="K42" s="47" t="s">
        <v>1397</v>
      </c>
      <c r="L42" s="47" t="s">
        <v>568</v>
      </c>
      <c r="M42" s="47">
        <v>2012</v>
      </c>
      <c r="N42" s="33" t="str">
        <f>HYPERLINK("http://services.igi-global.com/resolvedoi/resolve.aspx?doi=10.4018/978-1-46661-583-0")</f>
        <v>http://services.igi-global.com/resolvedoi/resolve.aspx?doi=10.4018/978-1-46661-583-0</v>
      </c>
    </row>
    <row r="43" spans="1:14">
      <c r="A43" s="47">
        <v>42</v>
      </c>
      <c r="B43" s="47" t="s">
        <v>571</v>
      </c>
      <c r="C43" s="47" t="s">
        <v>567</v>
      </c>
      <c r="D43" s="48" t="s">
        <v>637</v>
      </c>
      <c r="E43" s="48" t="s">
        <v>638</v>
      </c>
      <c r="F43" s="47" t="s">
        <v>639</v>
      </c>
      <c r="G43" s="47" t="s">
        <v>640</v>
      </c>
      <c r="H43" s="47" t="s">
        <v>641</v>
      </c>
      <c r="I43" s="47">
        <v>1</v>
      </c>
      <c r="J43" s="47">
        <v>1</v>
      </c>
      <c r="K43" s="47" t="s">
        <v>578</v>
      </c>
      <c r="L43" s="47" t="s">
        <v>568</v>
      </c>
      <c r="M43" s="47">
        <v>2012</v>
      </c>
      <c r="N43" s="33" t="str">
        <f>HYPERLINK("http://services.igi-global.com/resolvedoi/resolve.aspx?doi=10.4018/978-1-61350-462-8")</f>
        <v>http://services.igi-global.com/resolvedoi/resolve.aspx?doi=10.4018/978-1-61350-462-8</v>
      </c>
    </row>
    <row r="44" spans="1:14">
      <c r="A44" s="47">
        <v>43</v>
      </c>
      <c r="B44" s="47" t="s">
        <v>571</v>
      </c>
      <c r="C44" s="47" t="s">
        <v>567</v>
      </c>
      <c r="D44" s="48" t="s">
        <v>489</v>
      </c>
      <c r="E44" s="48" t="s">
        <v>1103</v>
      </c>
      <c r="F44" s="47" t="s">
        <v>1104</v>
      </c>
      <c r="G44" s="47" t="s">
        <v>1105</v>
      </c>
      <c r="H44" s="47" t="s">
        <v>1106</v>
      </c>
      <c r="I44" s="47">
        <v>1</v>
      </c>
      <c r="J44" s="47">
        <v>1</v>
      </c>
      <c r="K44" s="47" t="s">
        <v>1107</v>
      </c>
      <c r="L44" s="47" t="s">
        <v>568</v>
      </c>
      <c r="M44" s="47">
        <v>2010</v>
      </c>
      <c r="N44" s="33" t="str">
        <f>HYPERLINK("http://services.igi-global.com/resolvedoi/resolve.aspx?doi=10.4018/978-1-61520-597-4")</f>
        <v>http://services.igi-global.com/resolvedoi/resolve.aspx?doi=10.4018/978-1-61520-597-4</v>
      </c>
    </row>
    <row r="45" spans="1:14">
      <c r="A45" s="47">
        <v>44</v>
      </c>
      <c r="B45" s="47" t="s">
        <v>571</v>
      </c>
      <c r="C45" s="47" t="s">
        <v>549</v>
      </c>
      <c r="D45" s="48" t="s">
        <v>494</v>
      </c>
      <c r="E45" s="48" t="s">
        <v>646</v>
      </c>
      <c r="F45" s="47" t="s">
        <v>647</v>
      </c>
      <c r="G45" s="47" t="s">
        <v>648</v>
      </c>
      <c r="H45" s="47" t="s">
        <v>649</v>
      </c>
      <c r="I45" s="47">
        <v>1</v>
      </c>
      <c r="J45" s="47">
        <v>1</v>
      </c>
      <c r="K45" s="47" t="s">
        <v>553</v>
      </c>
      <c r="L45" s="47" t="s">
        <v>569</v>
      </c>
      <c r="M45" s="47">
        <v>2012</v>
      </c>
      <c r="N45" s="33" t="str">
        <f>HYPERLINK("http://services.igi-global.com/resolvedoi/resolve.aspx?doi=10.4018/978-1-61350-471-0")</f>
        <v>http://services.igi-global.com/resolvedoi/resolve.aspx?doi=10.4018/978-1-61350-471-0</v>
      </c>
    </row>
    <row r="46" spans="1:14">
      <c r="A46" s="47">
        <v>45</v>
      </c>
      <c r="B46" s="47" t="s">
        <v>571</v>
      </c>
      <c r="C46" s="47" t="s">
        <v>549</v>
      </c>
      <c r="D46" s="48" t="s">
        <v>516</v>
      </c>
      <c r="E46" s="48" t="s">
        <v>650</v>
      </c>
      <c r="F46" s="47" t="s">
        <v>651</v>
      </c>
      <c r="G46" s="47" t="s">
        <v>652</v>
      </c>
      <c r="H46" s="47" t="s">
        <v>653</v>
      </c>
      <c r="I46" s="47">
        <v>1</v>
      </c>
      <c r="J46" s="47">
        <v>1</v>
      </c>
      <c r="K46" s="47" t="s">
        <v>551</v>
      </c>
      <c r="L46" s="47" t="s">
        <v>569</v>
      </c>
      <c r="M46" s="47">
        <v>2012</v>
      </c>
      <c r="N46" s="33" t="str">
        <f>HYPERLINK("http://services.igi-global.com/resolvedoi/resolve.aspx?doi=10.4018/978-1-61350-474-1")</f>
        <v>http://services.igi-global.com/resolvedoi/resolve.aspx?doi=10.4018/978-1-61350-474-1</v>
      </c>
    </row>
    <row r="47" spans="1:14">
      <c r="A47" s="47">
        <v>46</v>
      </c>
      <c r="B47" s="47" t="s">
        <v>571</v>
      </c>
      <c r="C47" s="47" t="s">
        <v>549</v>
      </c>
      <c r="D47" s="48" t="s">
        <v>944</v>
      </c>
      <c r="E47" s="48" t="s">
        <v>945</v>
      </c>
      <c r="F47" s="47" t="s">
        <v>946</v>
      </c>
      <c r="G47" s="47" t="s">
        <v>947</v>
      </c>
      <c r="H47" s="47" t="s">
        <v>948</v>
      </c>
      <c r="I47" s="47">
        <v>1</v>
      </c>
      <c r="J47" s="47">
        <v>1</v>
      </c>
      <c r="K47" s="47" t="s">
        <v>949</v>
      </c>
      <c r="L47" s="47" t="s">
        <v>569</v>
      </c>
      <c r="M47" s="47">
        <v>2012</v>
      </c>
      <c r="N47" s="33" t="str">
        <f>HYPERLINK("http://services.igi-global.com/resolvedoi/resolve.aspx?doi=10.4018/978-1-61350-053-8")</f>
        <v>http://services.igi-global.com/resolvedoi/resolve.aspx?doi=10.4018/978-1-61350-053-8</v>
      </c>
    </row>
    <row r="48" spans="1:14">
      <c r="A48" s="47">
        <v>47</v>
      </c>
      <c r="B48" s="47" t="s">
        <v>571</v>
      </c>
      <c r="C48" s="47" t="s">
        <v>549</v>
      </c>
      <c r="D48" s="48" t="s">
        <v>565</v>
      </c>
      <c r="E48" s="48" t="s">
        <v>851</v>
      </c>
      <c r="F48" s="47" t="s">
        <v>852</v>
      </c>
      <c r="G48" s="47" t="s">
        <v>853</v>
      </c>
      <c r="H48" s="47" t="s">
        <v>854</v>
      </c>
      <c r="I48" s="47">
        <v>1</v>
      </c>
      <c r="J48" s="47">
        <v>1</v>
      </c>
      <c r="K48" s="47" t="s">
        <v>550</v>
      </c>
      <c r="L48" s="47" t="s">
        <v>569</v>
      </c>
      <c r="M48" s="47">
        <v>2012</v>
      </c>
      <c r="N48" s="33" t="str">
        <f>HYPERLINK("http://services.igi-global.com/resolvedoi/resolve.aspx?doi=10.4018/978-1-61350-126-9")</f>
        <v>http://services.igi-global.com/resolvedoi/resolve.aspx?doi=10.4018/978-1-61350-126-9</v>
      </c>
    </row>
    <row r="49" spans="1:14">
      <c r="A49" s="47">
        <v>48</v>
      </c>
      <c r="B49" s="47" t="s">
        <v>571</v>
      </c>
      <c r="C49" s="47" t="s">
        <v>549</v>
      </c>
      <c r="D49" s="48" t="s">
        <v>184</v>
      </c>
      <c r="E49" s="48" t="s">
        <v>185</v>
      </c>
      <c r="F49" s="47" t="s">
        <v>186</v>
      </c>
      <c r="G49" s="47" t="s">
        <v>187</v>
      </c>
      <c r="H49" s="47" t="s">
        <v>188</v>
      </c>
      <c r="I49" s="47">
        <v>1</v>
      </c>
      <c r="J49" s="47">
        <v>1</v>
      </c>
      <c r="K49" s="47" t="s">
        <v>189</v>
      </c>
      <c r="L49" s="47" t="s">
        <v>569</v>
      </c>
      <c r="M49" s="47">
        <v>2012</v>
      </c>
      <c r="N49" s="33" t="str">
        <f>HYPERLINK("http://services.igi-global.com/resolvedoi/resolve.aspx?doi=10.4018/978-1-46660-330-1")</f>
        <v>http://services.igi-global.com/resolvedoi/resolve.aspx?doi=10.4018/978-1-46660-330-1</v>
      </c>
    </row>
    <row r="50" spans="1:14">
      <c r="A50" s="47">
        <v>49</v>
      </c>
      <c r="B50" s="47" t="s">
        <v>571</v>
      </c>
      <c r="C50" s="47" t="s">
        <v>549</v>
      </c>
      <c r="D50" s="48" t="s">
        <v>516</v>
      </c>
      <c r="E50" s="48" t="s">
        <v>877</v>
      </c>
      <c r="F50" s="47" t="s">
        <v>878</v>
      </c>
      <c r="G50" s="47" t="s">
        <v>879</v>
      </c>
      <c r="H50" s="47" t="s">
        <v>880</v>
      </c>
      <c r="I50" s="47">
        <v>1</v>
      </c>
      <c r="J50" s="47">
        <v>1</v>
      </c>
      <c r="K50" s="47" t="s">
        <v>881</v>
      </c>
      <c r="L50" s="47" t="s">
        <v>569</v>
      </c>
      <c r="M50" s="47">
        <v>2012</v>
      </c>
      <c r="N50" s="33" t="str">
        <f>HYPERLINK("http://services.igi-global.com/resolvedoi/resolve.aspx?doi=10.4018/978-1-61350-056-9")</f>
        <v>http://services.igi-global.com/resolvedoi/resolve.aspx?doi=10.4018/978-1-61350-056-9</v>
      </c>
    </row>
    <row r="51" spans="1:14">
      <c r="A51" s="47">
        <v>50</v>
      </c>
      <c r="B51" s="47" t="s">
        <v>571</v>
      </c>
      <c r="C51" s="47" t="s">
        <v>549</v>
      </c>
      <c r="D51" s="48" t="s">
        <v>516</v>
      </c>
      <c r="E51" s="48" t="s">
        <v>772</v>
      </c>
      <c r="F51" s="47" t="s">
        <v>773</v>
      </c>
      <c r="G51" s="47" t="s">
        <v>774</v>
      </c>
      <c r="H51" s="47" t="s">
        <v>775</v>
      </c>
      <c r="I51" s="47">
        <v>1</v>
      </c>
      <c r="J51" s="47">
        <v>1</v>
      </c>
      <c r="K51" s="47" t="s">
        <v>776</v>
      </c>
      <c r="L51" s="47" t="s">
        <v>569</v>
      </c>
      <c r="M51" s="47">
        <v>2012</v>
      </c>
      <c r="N51" s="33" t="str">
        <f>HYPERLINK("http://services.igi-global.com/resolvedoi/resolve.aspx?doi=10.4018/978-1-61350-356-0")</f>
        <v>http://services.igi-global.com/resolvedoi/resolve.aspx?doi=10.4018/978-1-61350-356-0</v>
      </c>
    </row>
    <row r="52" spans="1:14">
      <c r="A52" s="47">
        <v>51</v>
      </c>
      <c r="B52" s="47" t="s">
        <v>571</v>
      </c>
      <c r="C52" s="47" t="s">
        <v>549</v>
      </c>
      <c r="D52" s="48" t="s">
        <v>516</v>
      </c>
      <c r="E52" s="48" t="s">
        <v>1157</v>
      </c>
      <c r="F52" s="47" t="s">
        <v>1158</v>
      </c>
      <c r="G52" s="47" t="s">
        <v>1159</v>
      </c>
      <c r="H52" s="47" t="s">
        <v>1160</v>
      </c>
      <c r="I52" s="47">
        <v>1</v>
      </c>
      <c r="J52" s="47">
        <v>1</v>
      </c>
      <c r="K52" s="47" t="s">
        <v>1161</v>
      </c>
      <c r="L52" s="47" t="s">
        <v>569</v>
      </c>
      <c r="M52" s="47">
        <v>2010</v>
      </c>
      <c r="N52" s="33" t="str">
        <f>HYPERLINK("http://services.igi-global.com/resolvedoi/resolve.aspx?doi=10.4018/978-1-60566-816-1")</f>
        <v>http://services.igi-global.com/resolvedoi/resolve.aspx?doi=10.4018/978-1-60566-816-1</v>
      </c>
    </row>
    <row r="53" spans="1:14">
      <c r="A53" s="47">
        <v>52</v>
      </c>
      <c r="B53" s="47" t="s">
        <v>571</v>
      </c>
      <c r="C53" s="47" t="s">
        <v>549</v>
      </c>
      <c r="D53" s="48" t="s">
        <v>494</v>
      </c>
      <c r="E53" s="48" t="s">
        <v>1213</v>
      </c>
      <c r="F53" s="47" t="s">
        <v>1214</v>
      </c>
      <c r="G53" s="47" t="s">
        <v>1215</v>
      </c>
      <c r="H53" s="47" t="s">
        <v>1216</v>
      </c>
      <c r="I53" s="47">
        <v>1</v>
      </c>
      <c r="J53" s="47">
        <v>1</v>
      </c>
      <c r="K53" s="47" t="s">
        <v>706</v>
      </c>
      <c r="L53" s="47" t="s">
        <v>569</v>
      </c>
      <c r="M53" s="47">
        <v>2009</v>
      </c>
      <c r="N53" s="33" t="str">
        <f>HYPERLINK("http://services.igi-global.com/resolvedoi/resolve.aspx?doi=10.4018/978-1-59904-657-0")</f>
        <v>http://services.igi-global.com/resolvedoi/resolve.aspx?doi=10.4018/978-1-59904-657-0</v>
      </c>
    </row>
    <row r="54" spans="1:14">
      <c r="A54" s="47">
        <v>53</v>
      </c>
      <c r="B54" s="47" t="s">
        <v>571</v>
      </c>
      <c r="C54" s="47" t="s">
        <v>549</v>
      </c>
      <c r="D54" s="48" t="s">
        <v>494</v>
      </c>
      <c r="E54" s="48" t="s">
        <v>1186</v>
      </c>
      <c r="F54" s="47" t="s">
        <v>1187</v>
      </c>
      <c r="G54" s="47" t="s">
        <v>1188</v>
      </c>
      <c r="H54" s="47" t="s">
        <v>1189</v>
      </c>
      <c r="I54" s="47">
        <v>2</v>
      </c>
      <c r="J54" s="47">
        <v>1</v>
      </c>
      <c r="K54" s="47" t="s">
        <v>1190</v>
      </c>
      <c r="L54" s="47" t="s">
        <v>569</v>
      </c>
      <c r="M54" s="47">
        <v>2009</v>
      </c>
      <c r="N54" s="33" t="str">
        <f>HYPERLINK("http://services.igi-global.com/resolvedoi/resolve.aspx?doi=10.4018/978-1-60566-242-8")</f>
        <v>http://services.igi-global.com/resolvedoi/resolve.aspx?doi=10.4018/978-1-60566-242-8</v>
      </c>
    </row>
    <row r="55" spans="1:14">
      <c r="A55" s="47">
        <v>54</v>
      </c>
      <c r="B55" s="47" t="s">
        <v>571</v>
      </c>
      <c r="C55" s="47" t="s">
        <v>549</v>
      </c>
      <c r="D55" s="48" t="s">
        <v>1197</v>
      </c>
      <c r="E55" s="48" t="s">
        <v>1198</v>
      </c>
      <c r="F55" s="47" t="s">
        <v>1199</v>
      </c>
      <c r="G55" s="47" t="s">
        <v>1200</v>
      </c>
      <c r="H55" s="47" t="s">
        <v>1201</v>
      </c>
      <c r="I55" s="47">
        <v>2</v>
      </c>
      <c r="J55" s="47">
        <v>1</v>
      </c>
      <c r="K55" s="47" t="s">
        <v>1202</v>
      </c>
      <c r="L55" s="47" t="s">
        <v>569</v>
      </c>
      <c r="M55" s="47">
        <v>2009</v>
      </c>
      <c r="N55" s="33" t="str">
        <f>HYPERLINK("http://services.igi-global.com/resolvedoi/resolve.aspx?doi=10.4018/978-1-59904-990-8")</f>
        <v>http://services.igi-global.com/resolvedoi/resolve.aspx?doi=10.4018/978-1-59904-990-8</v>
      </c>
    </row>
    <row r="56" spans="1:14">
      <c r="A56" s="47">
        <v>55</v>
      </c>
      <c r="B56" s="47" t="s">
        <v>571</v>
      </c>
      <c r="C56" s="47" t="s">
        <v>549</v>
      </c>
      <c r="D56" s="48" t="s">
        <v>494</v>
      </c>
      <c r="E56" s="48" t="s">
        <v>1217</v>
      </c>
      <c r="F56" s="47" t="s">
        <v>1218</v>
      </c>
      <c r="G56" s="47" t="s">
        <v>1219</v>
      </c>
      <c r="H56" s="47" t="s">
        <v>1220</v>
      </c>
      <c r="I56" s="47">
        <v>2</v>
      </c>
      <c r="J56" s="47">
        <v>1</v>
      </c>
      <c r="K56" s="47" t="s">
        <v>1221</v>
      </c>
      <c r="L56" s="47" t="s">
        <v>569</v>
      </c>
      <c r="M56" s="35">
        <v>2008</v>
      </c>
      <c r="N56" s="33" t="str">
        <f>HYPERLINK("http://services.igi-global.com/resolvedoi/resolve.aspx?doi=10.4018/978-1-59904-853-6")</f>
        <v>http://services.igi-global.com/resolvedoi/resolve.aspx?doi=10.4018/978-1-59904-853-6</v>
      </c>
    </row>
    <row r="57" spans="1:14">
      <c r="A57" s="47">
        <v>56</v>
      </c>
      <c r="B57" s="47" t="s">
        <v>571</v>
      </c>
      <c r="C57" s="47" t="s">
        <v>554</v>
      </c>
      <c r="D57" s="48" t="s">
        <v>496</v>
      </c>
      <c r="E57" s="48" t="s">
        <v>642</v>
      </c>
      <c r="F57" s="47" t="s">
        <v>643</v>
      </c>
      <c r="G57" s="47" t="s">
        <v>644</v>
      </c>
      <c r="H57" s="47" t="s">
        <v>645</v>
      </c>
      <c r="I57" s="47">
        <v>1</v>
      </c>
      <c r="J57" s="47">
        <v>1</v>
      </c>
      <c r="K57" s="47" t="s">
        <v>574</v>
      </c>
      <c r="L57" s="47" t="s">
        <v>569</v>
      </c>
      <c r="M57" s="47">
        <v>2012</v>
      </c>
      <c r="N57" s="33" t="str">
        <f>HYPERLINK("http://services.igi-global.com/resolvedoi/resolve.aspx?doi=10.4018/978-1-61350-468-0")</f>
        <v>http://services.igi-global.com/resolvedoi/resolve.aspx?doi=10.4018/978-1-61350-468-0</v>
      </c>
    </row>
    <row r="58" spans="1:14">
      <c r="A58" s="47">
        <v>57</v>
      </c>
      <c r="B58" s="47" t="s">
        <v>571</v>
      </c>
      <c r="C58" s="47" t="s">
        <v>554</v>
      </c>
      <c r="D58" s="48" t="s">
        <v>1515</v>
      </c>
      <c r="E58" s="48" t="s">
        <v>1516</v>
      </c>
      <c r="F58" s="47" t="s">
        <v>1517</v>
      </c>
      <c r="G58" s="47" t="s">
        <v>1518</v>
      </c>
      <c r="H58" s="47" t="s">
        <v>1519</v>
      </c>
      <c r="I58" s="47">
        <v>1</v>
      </c>
      <c r="J58" s="47">
        <v>1</v>
      </c>
      <c r="K58" s="47" t="s">
        <v>556</v>
      </c>
      <c r="L58" s="47" t="s">
        <v>569</v>
      </c>
      <c r="M58" s="47">
        <v>2012</v>
      </c>
      <c r="N58" s="33" t="str">
        <f>HYPERLINK("http://services.igi-global.com/resolvedoi/resolve.aspx?doi=10.4018/978-1-46661-655-4")</f>
        <v>http://services.igi-global.com/resolvedoi/resolve.aspx?doi=10.4018/978-1-46661-655-4</v>
      </c>
    </row>
    <row r="59" spans="1:14">
      <c r="A59" s="47">
        <v>58</v>
      </c>
      <c r="B59" s="47" t="s">
        <v>571</v>
      </c>
      <c r="C59" s="47" t="s">
        <v>554</v>
      </c>
      <c r="D59" s="48" t="s">
        <v>754</v>
      </c>
      <c r="E59" s="48" t="s">
        <v>755</v>
      </c>
      <c r="F59" s="47" t="s">
        <v>756</v>
      </c>
      <c r="G59" s="47" t="s">
        <v>757</v>
      </c>
      <c r="H59" s="47" t="s">
        <v>758</v>
      </c>
      <c r="I59" s="47">
        <v>1</v>
      </c>
      <c r="J59" s="47">
        <v>1</v>
      </c>
      <c r="K59" s="47" t="s">
        <v>759</v>
      </c>
      <c r="L59" s="47" t="s">
        <v>569</v>
      </c>
      <c r="M59" s="47">
        <v>2012</v>
      </c>
      <c r="N59" s="33" t="str">
        <f>HYPERLINK("http://services.igi-global.com/resolvedoi/resolve.aspx?doi=10.4018/978-1-61350-317-1")</f>
        <v>http://services.igi-global.com/resolvedoi/resolve.aspx?doi=10.4018/978-1-61350-317-1</v>
      </c>
    </row>
    <row r="60" spans="1:14">
      <c r="A60" s="47">
        <v>59</v>
      </c>
      <c r="B60" s="47" t="s">
        <v>571</v>
      </c>
      <c r="C60" s="47" t="s">
        <v>554</v>
      </c>
      <c r="D60" s="48" t="s">
        <v>1475</v>
      </c>
      <c r="E60" s="48" t="s">
        <v>15</v>
      </c>
      <c r="F60" s="47" t="s">
        <v>16</v>
      </c>
      <c r="G60" s="47" t="s">
        <v>17</v>
      </c>
      <c r="H60" s="47" t="s">
        <v>18</v>
      </c>
      <c r="I60" s="47">
        <v>1</v>
      </c>
      <c r="J60" s="47">
        <v>1</v>
      </c>
      <c r="K60" s="47" t="s">
        <v>559</v>
      </c>
      <c r="L60" s="47" t="s">
        <v>569</v>
      </c>
      <c r="M60" s="47">
        <v>2012</v>
      </c>
      <c r="N60" s="33" t="str">
        <f>HYPERLINK("http://services.igi-global.com/resolvedoi/resolve.aspx?doi=10.4018/978-1-46660-957-0")</f>
        <v>http://services.igi-global.com/resolvedoi/resolve.aspx?doi=10.4018/978-1-46660-957-0</v>
      </c>
    </row>
    <row r="61" spans="1:14">
      <c r="A61" s="47">
        <v>60</v>
      </c>
      <c r="B61" s="47" t="s">
        <v>571</v>
      </c>
      <c r="C61" s="47" t="s">
        <v>554</v>
      </c>
      <c r="D61" s="48" t="s">
        <v>144</v>
      </c>
      <c r="E61" s="48" t="s">
        <v>145</v>
      </c>
      <c r="F61" s="47" t="s">
        <v>146</v>
      </c>
      <c r="G61" s="47" t="s">
        <v>147</v>
      </c>
      <c r="H61" s="47" t="s">
        <v>148</v>
      </c>
      <c r="I61" s="47">
        <v>1</v>
      </c>
      <c r="J61" s="47">
        <v>1</v>
      </c>
      <c r="K61" s="47" t="s">
        <v>149</v>
      </c>
      <c r="L61" s="47" t="s">
        <v>569</v>
      </c>
      <c r="M61" s="47">
        <v>2012</v>
      </c>
      <c r="N61" s="33" t="str">
        <f>HYPERLINK("http://services.igi-global.com/resolvedoi/resolve.aspx?doi=10.4018/978-1-46660-300-4")</f>
        <v>http://services.igi-global.com/resolvedoi/resolve.aspx?doi=10.4018/978-1-46660-300-4</v>
      </c>
    </row>
    <row r="62" spans="1:14">
      <c r="A62" s="47">
        <v>61</v>
      </c>
      <c r="B62" s="47" t="s">
        <v>571</v>
      </c>
      <c r="C62" s="47" t="s">
        <v>554</v>
      </c>
      <c r="D62" s="48" t="s">
        <v>473</v>
      </c>
      <c r="E62" s="48" t="s">
        <v>474</v>
      </c>
      <c r="F62" s="47" t="s">
        <v>475</v>
      </c>
      <c r="G62" s="47" t="s">
        <v>476</v>
      </c>
      <c r="H62" s="47" t="s">
        <v>477</v>
      </c>
      <c r="I62" s="47">
        <v>1</v>
      </c>
      <c r="J62" s="47">
        <v>1</v>
      </c>
      <c r="K62" s="47" t="s">
        <v>478</v>
      </c>
      <c r="L62" s="47" t="s">
        <v>569</v>
      </c>
      <c r="M62" s="47">
        <v>2012</v>
      </c>
      <c r="N62" s="33" t="str">
        <f>HYPERLINK("http://services.igi-global.com/resolvedoi/resolve.aspx?doi=10.4018/978-1-61350-180-1")</f>
        <v>http://services.igi-global.com/resolvedoi/resolve.aspx?doi=10.4018/978-1-61350-180-1</v>
      </c>
    </row>
    <row r="63" spans="1:14">
      <c r="A63" s="47">
        <v>62</v>
      </c>
      <c r="B63" s="47" t="s">
        <v>571</v>
      </c>
      <c r="C63" s="47" t="s">
        <v>554</v>
      </c>
      <c r="D63" s="48" t="s">
        <v>495</v>
      </c>
      <c r="E63" s="48" t="s">
        <v>918</v>
      </c>
      <c r="F63" s="47" t="s">
        <v>919</v>
      </c>
      <c r="G63" s="47" t="s">
        <v>920</v>
      </c>
      <c r="H63" s="47" t="s">
        <v>921</v>
      </c>
      <c r="I63" s="47">
        <v>1</v>
      </c>
      <c r="J63" s="47">
        <v>1</v>
      </c>
      <c r="K63" s="47" t="s">
        <v>922</v>
      </c>
      <c r="L63" s="47" t="s">
        <v>569</v>
      </c>
      <c r="M63" s="47">
        <v>2012</v>
      </c>
      <c r="N63" s="33" t="str">
        <f>HYPERLINK("http://services.igi-global.com/resolvedoi/resolve.aspx?doi=10.4018/978-1-61350-065-1")</f>
        <v>http://services.igi-global.com/resolvedoi/resolve.aspx?doi=10.4018/978-1-61350-065-1</v>
      </c>
    </row>
    <row r="64" spans="1:14">
      <c r="A64" s="47">
        <v>63</v>
      </c>
      <c r="B64" s="47" t="s">
        <v>571</v>
      </c>
      <c r="C64" s="47" t="s">
        <v>554</v>
      </c>
      <c r="D64" s="48" t="s">
        <v>517</v>
      </c>
      <c r="E64" s="48" t="s">
        <v>840</v>
      </c>
      <c r="F64" s="47" t="s">
        <v>841</v>
      </c>
      <c r="G64" s="47" t="s">
        <v>842</v>
      </c>
      <c r="H64" s="47" t="s">
        <v>843</v>
      </c>
      <c r="I64" s="47">
        <v>1</v>
      </c>
      <c r="J64" s="47">
        <v>1</v>
      </c>
      <c r="K64" s="47" t="s">
        <v>844</v>
      </c>
      <c r="L64" s="47" t="s">
        <v>569</v>
      </c>
      <c r="M64" s="47">
        <v>2012</v>
      </c>
      <c r="N64" s="33" t="str">
        <f>HYPERLINK("http://services.igi-global.com/resolvedoi/resolve.aspx?doi=10.4018/978-1-61350-077-4")</f>
        <v>http://services.igi-global.com/resolvedoi/resolve.aspx?doi=10.4018/978-1-61350-077-4</v>
      </c>
    </row>
    <row r="65" spans="1:14">
      <c r="A65" s="47">
        <v>64</v>
      </c>
      <c r="B65" s="47" t="s">
        <v>571</v>
      </c>
      <c r="C65" s="47" t="s">
        <v>554</v>
      </c>
      <c r="D65" s="48" t="s">
        <v>499</v>
      </c>
      <c r="E65" s="48" t="s">
        <v>1278</v>
      </c>
      <c r="F65" s="47" t="s">
        <v>1279</v>
      </c>
      <c r="G65" s="47" t="s">
        <v>1280</v>
      </c>
      <c r="H65" s="47" t="s">
        <v>1281</v>
      </c>
      <c r="I65" s="47">
        <v>1</v>
      </c>
      <c r="J65" s="47">
        <v>1</v>
      </c>
      <c r="K65" s="47" t="s">
        <v>577</v>
      </c>
      <c r="L65" s="47" t="s">
        <v>569</v>
      </c>
      <c r="M65" s="47">
        <v>2012</v>
      </c>
      <c r="N65" s="33" t="str">
        <f>HYPERLINK("http://services.igi-global.com/resolvedoi/resolve.aspx?doi=10.4018/978-1-46661-770-4")</f>
        <v>http://services.igi-global.com/resolvedoi/resolve.aspx?doi=10.4018/978-1-46661-770-4</v>
      </c>
    </row>
    <row r="66" spans="1:14">
      <c r="A66" s="47">
        <v>65</v>
      </c>
      <c r="B66" s="47" t="s">
        <v>571</v>
      </c>
      <c r="C66" s="47" t="s">
        <v>554</v>
      </c>
      <c r="D66" s="48" t="s">
        <v>796</v>
      </c>
      <c r="E66" s="48" t="s">
        <v>797</v>
      </c>
      <c r="F66" s="47" t="s">
        <v>798</v>
      </c>
      <c r="G66" s="47" t="s">
        <v>799</v>
      </c>
      <c r="H66" s="47" t="s">
        <v>800</v>
      </c>
      <c r="I66" s="47">
        <v>1</v>
      </c>
      <c r="J66" s="47">
        <v>1</v>
      </c>
      <c r="K66" s="47" t="s">
        <v>801</v>
      </c>
      <c r="L66" s="47" t="s">
        <v>569</v>
      </c>
      <c r="M66" s="47">
        <v>2012</v>
      </c>
      <c r="N66" s="33" t="str">
        <f>HYPERLINK("http://services.igi-global.com/resolvedoi/resolve.aspx?doi=10.4018/978-1-61350-183-2")</f>
        <v>http://services.igi-global.com/resolvedoi/resolve.aspx?doi=10.4018/978-1-61350-183-2</v>
      </c>
    </row>
    <row r="67" spans="1:14">
      <c r="A67" s="47">
        <v>66</v>
      </c>
      <c r="B67" s="47" t="s">
        <v>571</v>
      </c>
      <c r="C67" s="47" t="s">
        <v>554</v>
      </c>
      <c r="D67" s="48" t="s">
        <v>228</v>
      </c>
      <c r="E67" s="48" t="s">
        <v>229</v>
      </c>
      <c r="F67" s="47" t="s">
        <v>230</v>
      </c>
      <c r="G67" s="47" t="s">
        <v>231</v>
      </c>
      <c r="H67" s="47" t="s">
        <v>232</v>
      </c>
      <c r="I67" s="47">
        <v>1</v>
      </c>
      <c r="J67" s="47">
        <v>1</v>
      </c>
      <c r="K67" s="47" t="s">
        <v>233</v>
      </c>
      <c r="L67" s="47" t="s">
        <v>569</v>
      </c>
      <c r="M67" s="47">
        <v>2012</v>
      </c>
      <c r="N67" s="33" t="str">
        <f>HYPERLINK("http://services.igi-global.com/resolvedoi/resolve.aspx?doi=10.4018/978-1-46660-143-7")</f>
        <v>http://services.igi-global.com/resolvedoi/resolve.aspx?doi=10.4018/978-1-46660-143-7</v>
      </c>
    </row>
    <row r="68" spans="1:14">
      <c r="A68" s="47">
        <v>67</v>
      </c>
      <c r="B68" s="47" t="s">
        <v>571</v>
      </c>
      <c r="C68" s="47" t="s">
        <v>554</v>
      </c>
      <c r="D68" s="48" t="s">
        <v>496</v>
      </c>
      <c r="E68" s="48" t="s">
        <v>360</v>
      </c>
      <c r="F68" s="47" t="s">
        <v>361</v>
      </c>
      <c r="G68" s="47" t="s">
        <v>362</v>
      </c>
      <c r="H68" s="47" t="s">
        <v>363</v>
      </c>
      <c r="I68" s="47">
        <v>1</v>
      </c>
      <c r="J68" s="47">
        <v>1</v>
      </c>
      <c r="K68" s="47" t="s">
        <v>364</v>
      </c>
      <c r="L68" s="47" t="s">
        <v>569</v>
      </c>
      <c r="M68" s="47">
        <v>2012</v>
      </c>
      <c r="N68" s="33" t="str">
        <f>HYPERLINK("http://services.igi-global.com/resolvedoi/resolve.aspx?doi=10.4018/978-1-46660-032-4")</f>
        <v>http://services.igi-global.com/resolvedoi/resolve.aspx?doi=10.4018/978-1-46660-032-4</v>
      </c>
    </row>
    <row r="69" spans="1:14">
      <c r="A69" s="47">
        <v>68</v>
      </c>
      <c r="B69" s="47" t="s">
        <v>571</v>
      </c>
      <c r="C69" s="47" t="s">
        <v>554</v>
      </c>
      <c r="D69" s="48" t="s">
        <v>497</v>
      </c>
      <c r="E69" s="48" t="s">
        <v>961</v>
      </c>
      <c r="F69" s="47" t="s">
        <v>962</v>
      </c>
      <c r="G69" s="47" t="s">
        <v>963</v>
      </c>
      <c r="H69" s="47" t="s">
        <v>964</v>
      </c>
      <c r="I69" s="47">
        <v>1</v>
      </c>
      <c r="J69" s="47">
        <v>1</v>
      </c>
      <c r="K69" s="47" t="s">
        <v>965</v>
      </c>
      <c r="L69" s="47" t="s">
        <v>569</v>
      </c>
      <c r="M69" s="47">
        <v>2012</v>
      </c>
      <c r="N69" s="33" t="str">
        <f>HYPERLINK("http://services.igi-global.com/resolvedoi/resolve.aspx?doi=10.4018/978-1-60960-884-2")</f>
        <v>http://services.igi-global.com/resolvedoi/resolve.aspx?doi=10.4018/978-1-60960-884-2</v>
      </c>
    </row>
    <row r="70" spans="1:14">
      <c r="A70" s="47">
        <v>69</v>
      </c>
      <c r="B70" s="47" t="s">
        <v>571</v>
      </c>
      <c r="C70" s="47" t="s">
        <v>554</v>
      </c>
      <c r="D70" s="48" t="s">
        <v>955</v>
      </c>
      <c r="E70" s="48" t="s">
        <v>956</v>
      </c>
      <c r="F70" s="47" t="s">
        <v>957</v>
      </c>
      <c r="G70" s="47" t="s">
        <v>958</v>
      </c>
      <c r="H70" s="47" t="s">
        <v>959</v>
      </c>
      <c r="I70" s="47">
        <v>1</v>
      </c>
      <c r="J70" s="47">
        <v>1</v>
      </c>
      <c r="K70" s="47" t="s">
        <v>960</v>
      </c>
      <c r="L70" s="47" t="s">
        <v>569</v>
      </c>
      <c r="M70" s="47">
        <v>2012</v>
      </c>
      <c r="N70" s="33" t="str">
        <f>HYPERLINK("http://services.igi-global.com/resolvedoi/resolve.aspx?doi=10.4018/978-1-60960-842-2")</f>
        <v>http://services.igi-global.com/resolvedoi/resolve.aspx?doi=10.4018/978-1-60960-842-2</v>
      </c>
    </row>
    <row r="71" spans="1:14">
      <c r="A71" s="47">
        <v>70</v>
      </c>
      <c r="B71" s="47" t="s">
        <v>571</v>
      </c>
      <c r="C71" s="47" t="s">
        <v>554</v>
      </c>
      <c r="D71" s="48" t="s">
        <v>517</v>
      </c>
      <c r="E71" s="48" t="s">
        <v>659</v>
      </c>
      <c r="F71" s="47" t="s">
        <v>660</v>
      </c>
      <c r="G71" s="47" t="s">
        <v>661</v>
      </c>
      <c r="H71" s="47" t="s">
        <v>662</v>
      </c>
      <c r="I71" s="47">
        <v>1</v>
      </c>
      <c r="J71" s="47">
        <v>1</v>
      </c>
      <c r="K71" s="47" t="s">
        <v>663</v>
      </c>
      <c r="L71" s="47" t="s">
        <v>569</v>
      </c>
      <c r="M71" s="47">
        <v>2012</v>
      </c>
      <c r="N71" s="33" t="str">
        <f>HYPERLINK("http://services.igi-global.com/resolvedoi/resolve.aspx?doi=10.4018/978-1-61350-483-3")</f>
        <v>http://services.igi-global.com/resolvedoi/resolve.aspx?doi=10.4018/978-1-61350-483-3</v>
      </c>
    </row>
    <row r="72" spans="1:14">
      <c r="A72" s="47">
        <v>71</v>
      </c>
      <c r="B72" s="47" t="s">
        <v>571</v>
      </c>
      <c r="C72" s="47" t="s">
        <v>554</v>
      </c>
      <c r="D72" s="48" t="s">
        <v>496</v>
      </c>
      <c r="E72" s="48" t="s">
        <v>605</v>
      </c>
      <c r="F72" s="47" t="s">
        <v>606</v>
      </c>
      <c r="G72" s="47" t="s">
        <v>607</v>
      </c>
      <c r="H72" s="47" t="s">
        <v>608</v>
      </c>
      <c r="I72" s="47">
        <v>1</v>
      </c>
      <c r="J72" s="47">
        <v>1</v>
      </c>
      <c r="K72" s="47" t="s">
        <v>609</v>
      </c>
      <c r="L72" s="47" t="s">
        <v>569</v>
      </c>
      <c r="M72" s="47">
        <v>2012</v>
      </c>
      <c r="N72" s="33" t="str">
        <f>HYPERLINK("http://services.igi-global.com/resolvedoi/resolve.aspx?doi=10.4018/978-1-61350-441-3")</f>
        <v>http://services.igi-global.com/resolvedoi/resolve.aspx?doi=10.4018/978-1-61350-441-3</v>
      </c>
    </row>
    <row r="73" spans="1:14">
      <c r="A73" s="47">
        <v>72</v>
      </c>
      <c r="B73" s="47" t="s">
        <v>571</v>
      </c>
      <c r="C73" s="47" t="s">
        <v>554</v>
      </c>
      <c r="D73" s="48" t="s">
        <v>496</v>
      </c>
      <c r="E73" s="48" t="s">
        <v>1608</v>
      </c>
      <c r="F73" s="47" t="s">
        <v>1609</v>
      </c>
      <c r="G73" s="47" t="s">
        <v>1610</v>
      </c>
      <c r="H73" s="47" t="s">
        <v>1611</v>
      </c>
      <c r="I73" s="47">
        <v>1</v>
      </c>
      <c r="J73" s="47">
        <v>1</v>
      </c>
      <c r="K73" s="47" t="s">
        <v>1612</v>
      </c>
      <c r="L73" s="47" t="s">
        <v>569</v>
      </c>
      <c r="M73" s="47">
        <v>2012</v>
      </c>
      <c r="N73" s="33" t="str">
        <f>HYPERLINK("http://services.igi-global.com/resolvedoi/resolve.aspx?doi=10.4018/978-1-46660-936-5")</f>
        <v>http://services.igi-global.com/resolvedoi/resolve.aspx?doi=10.4018/978-1-46660-936-5</v>
      </c>
    </row>
    <row r="74" spans="1:14">
      <c r="A74" s="47">
        <v>73</v>
      </c>
      <c r="B74" s="47" t="s">
        <v>571</v>
      </c>
      <c r="C74" s="47" t="s">
        <v>554</v>
      </c>
      <c r="D74" s="48" t="s">
        <v>53</v>
      </c>
      <c r="E74" s="48" t="s">
        <v>54</v>
      </c>
      <c r="F74" s="47" t="s">
        <v>55</v>
      </c>
      <c r="G74" s="47" t="s">
        <v>56</v>
      </c>
      <c r="H74" s="47" t="s">
        <v>57</v>
      </c>
      <c r="I74" s="47">
        <v>1</v>
      </c>
      <c r="J74" s="47">
        <v>1</v>
      </c>
      <c r="K74" s="47" t="s">
        <v>58</v>
      </c>
      <c r="L74" s="47" t="s">
        <v>569</v>
      </c>
      <c r="M74" s="47">
        <v>2012</v>
      </c>
      <c r="N74" s="33" t="str">
        <f>HYPERLINK("http://services.igi-global.com/resolvedoi/resolve.aspx?doi=10.4018/978-1-46660-243-4")</f>
        <v>http://services.igi-global.com/resolvedoi/resolve.aspx?doi=10.4018/978-1-46660-243-4</v>
      </c>
    </row>
    <row r="75" spans="1:14">
      <c r="A75" s="47">
        <v>74</v>
      </c>
      <c r="B75" s="47" t="s">
        <v>571</v>
      </c>
      <c r="C75" s="47" t="s">
        <v>554</v>
      </c>
      <c r="D75" s="48" t="s">
        <v>518</v>
      </c>
      <c r="E75" s="48" t="s">
        <v>389</v>
      </c>
      <c r="F75" s="47" t="s">
        <v>390</v>
      </c>
      <c r="G75" s="47" t="s">
        <v>391</v>
      </c>
      <c r="H75" s="47" t="s">
        <v>392</v>
      </c>
      <c r="I75" s="47">
        <v>1</v>
      </c>
      <c r="J75" s="47">
        <v>1</v>
      </c>
      <c r="K75" s="47" t="s">
        <v>557</v>
      </c>
      <c r="L75" s="47" t="s">
        <v>569</v>
      </c>
      <c r="M75" s="47">
        <v>2012</v>
      </c>
      <c r="N75" s="33" t="str">
        <f>HYPERLINK("http://services.igi-global.com/resolvedoi/resolve.aspx?doi=10.4018/978-1-46660-053-9")</f>
        <v>http://services.igi-global.com/resolvedoi/resolve.aspx?doi=10.4018/978-1-46660-053-9</v>
      </c>
    </row>
    <row r="76" spans="1:14">
      <c r="A76" s="47">
        <v>75</v>
      </c>
      <c r="B76" s="47" t="s">
        <v>571</v>
      </c>
      <c r="C76" s="47" t="s">
        <v>554</v>
      </c>
      <c r="D76" s="48" t="s">
        <v>293</v>
      </c>
      <c r="E76" s="48" t="s">
        <v>294</v>
      </c>
      <c r="F76" s="47" t="s">
        <v>295</v>
      </c>
      <c r="G76" s="47" t="s">
        <v>296</v>
      </c>
      <c r="H76" s="47" t="s">
        <v>297</v>
      </c>
      <c r="I76" s="47">
        <v>1</v>
      </c>
      <c r="J76" s="47">
        <v>1</v>
      </c>
      <c r="K76" s="47" t="s">
        <v>298</v>
      </c>
      <c r="L76" s="47" t="s">
        <v>569</v>
      </c>
      <c r="M76" s="47">
        <v>2012</v>
      </c>
      <c r="N76" s="33" t="str">
        <f>HYPERLINK("http://services.igi-global.com/resolvedoi/resolve.aspx?doi=10.4018/978-1-46660-182-6")</f>
        <v>http://services.igi-global.com/resolvedoi/resolve.aspx?doi=10.4018/978-1-46660-182-6</v>
      </c>
    </row>
    <row r="77" spans="1:14">
      <c r="A77" s="47">
        <v>76</v>
      </c>
      <c r="B77" s="47" t="s">
        <v>571</v>
      </c>
      <c r="C77" s="47" t="s">
        <v>554</v>
      </c>
      <c r="D77" s="48" t="s">
        <v>993</v>
      </c>
      <c r="E77" s="48" t="s">
        <v>994</v>
      </c>
      <c r="F77" s="47" t="s">
        <v>995</v>
      </c>
      <c r="G77" s="47" t="s">
        <v>996</v>
      </c>
      <c r="H77" s="47" t="s">
        <v>997</v>
      </c>
      <c r="I77" s="47">
        <v>1</v>
      </c>
      <c r="J77" s="47">
        <v>1</v>
      </c>
      <c r="K77" s="47" t="s">
        <v>922</v>
      </c>
      <c r="L77" s="47" t="s">
        <v>569</v>
      </c>
      <c r="M77" s="47">
        <v>2012</v>
      </c>
      <c r="N77" s="33" t="str">
        <f>HYPERLINK("http://services.igi-global.com/resolvedoi/resolve.aspx?doi=10.4018/978-1-61350-062-0")</f>
        <v>http://services.igi-global.com/resolvedoi/resolve.aspx?doi=10.4018/978-1-61350-062-0</v>
      </c>
    </row>
    <row r="78" spans="1:14">
      <c r="A78" s="47">
        <v>77</v>
      </c>
      <c r="B78" s="47" t="s">
        <v>571</v>
      </c>
      <c r="C78" s="47" t="s">
        <v>554</v>
      </c>
      <c r="D78" s="48" t="s">
        <v>403</v>
      </c>
      <c r="E78" s="48" t="s">
        <v>404</v>
      </c>
      <c r="F78" s="47" t="s">
        <v>405</v>
      </c>
      <c r="G78" s="47" t="s">
        <v>406</v>
      </c>
      <c r="H78" s="47" t="s">
        <v>407</v>
      </c>
      <c r="I78" s="47">
        <v>1</v>
      </c>
      <c r="J78" s="47">
        <v>1</v>
      </c>
      <c r="K78" s="47" t="s">
        <v>408</v>
      </c>
      <c r="L78" s="47" t="s">
        <v>569</v>
      </c>
      <c r="M78" s="47">
        <v>2012</v>
      </c>
      <c r="N78" s="33" t="str">
        <f>HYPERLINK("http://services.igi-global.com/resolvedoi/resolve.aspx?doi=10.4018/978-1-46660-062-1")</f>
        <v>http://services.igi-global.com/resolvedoi/resolve.aspx?doi=10.4018/978-1-46660-062-1</v>
      </c>
    </row>
    <row r="79" spans="1:14">
      <c r="A79" s="47">
        <v>78</v>
      </c>
      <c r="B79" s="47" t="s">
        <v>571</v>
      </c>
      <c r="C79" s="47" t="s">
        <v>554</v>
      </c>
      <c r="D79" s="48" t="s">
        <v>69</v>
      </c>
      <c r="E79" s="48" t="s">
        <v>70</v>
      </c>
      <c r="F79" s="47" t="s">
        <v>71</v>
      </c>
      <c r="G79" s="47" t="s">
        <v>72</v>
      </c>
      <c r="H79" s="47" t="s">
        <v>73</v>
      </c>
      <c r="I79" s="47">
        <v>1</v>
      </c>
      <c r="J79" s="47">
        <v>1</v>
      </c>
      <c r="K79" s="47" t="s">
        <v>555</v>
      </c>
      <c r="L79" s="47" t="s">
        <v>569</v>
      </c>
      <c r="M79" s="47">
        <v>2012</v>
      </c>
      <c r="N79" s="33" t="str">
        <f>HYPERLINK("http://services.igi-global.com/resolvedoi/resolve.aspx?doi=10.4018/978-1-46660-252-6")</f>
        <v>http://services.igi-global.com/resolvedoi/resolve.aspx?doi=10.4018/978-1-46660-252-6</v>
      </c>
    </row>
    <row r="80" spans="1:14">
      <c r="A80" s="47">
        <v>79</v>
      </c>
      <c r="B80" s="47" t="s">
        <v>571</v>
      </c>
      <c r="C80" s="47" t="s">
        <v>554</v>
      </c>
      <c r="D80" s="48" t="s">
        <v>1064</v>
      </c>
      <c r="E80" s="48" t="s">
        <v>1065</v>
      </c>
      <c r="F80" s="47" t="s">
        <v>1066</v>
      </c>
      <c r="G80" s="47" t="s">
        <v>1067</v>
      </c>
      <c r="H80" s="47" t="s">
        <v>1068</v>
      </c>
      <c r="I80" s="47">
        <v>1</v>
      </c>
      <c r="J80" s="47">
        <v>1</v>
      </c>
      <c r="K80" s="47" t="s">
        <v>1069</v>
      </c>
      <c r="L80" s="47" t="s">
        <v>569</v>
      </c>
      <c r="M80" s="47">
        <v>2011</v>
      </c>
      <c r="N80" s="33" t="str">
        <f>HYPERLINK("http://services.igi-global.com/resolvedoi/resolve.aspx?doi=10.4018/978-1-61692-825-4")</f>
        <v>http://services.igi-global.com/resolvedoi/resolve.aspx?doi=10.4018/978-1-61692-825-4</v>
      </c>
    </row>
    <row r="81" spans="1:14">
      <c r="A81" s="47">
        <v>80</v>
      </c>
      <c r="B81" s="47" t="s">
        <v>571</v>
      </c>
      <c r="C81" s="47" t="s">
        <v>554</v>
      </c>
      <c r="D81" s="48" t="s">
        <v>499</v>
      </c>
      <c r="E81" s="48" t="s">
        <v>1123</v>
      </c>
      <c r="F81" s="47" t="s">
        <v>1124</v>
      </c>
      <c r="G81" s="47" t="s">
        <v>1125</v>
      </c>
      <c r="H81" s="47" t="s">
        <v>1126</v>
      </c>
      <c r="I81" s="47">
        <v>1</v>
      </c>
      <c r="J81" s="47">
        <v>1</v>
      </c>
      <c r="K81" s="47" t="s">
        <v>1127</v>
      </c>
      <c r="L81" s="47" t="s">
        <v>569</v>
      </c>
      <c r="M81" s="47">
        <v>2010</v>
      </c>
      <c r="N81" s="33" t="str">
        <f>HYPERLINK("http://services.igi-global.com/resolvedoi/resolve.aspx?doi=10.4018/978-1-60566-940-3")</f>
        <v>http://services.igi-global.com/resolvedoi/resolve.aspx?doi=10.4018/978-1-60566-940-3</v>
      </c>
    </row>
    <row r="82" spans="1:14">
      <c r="A82" s="47">
        <v>81</v>
      </c>
      <c r="B82" s="47" t="s">
        <v>571</v>
      </c>
      <c r="C82" s="47" t="s">
        <v>554</v>
      </c>
      <c r="D82" s="48" t="s">
        <v>498</v>
      </c>
      <c r="E82" s="48" t="s">
        <v>1162</v>
      </c>
      <c r="F82" s="47" t="s">
        <v>1163</v>
      </c>
      <c r="G82" s="47" t="s">
        <v>1164</v>
      </c>
      <c r="H82" s="47" t="s">
        <v>1165</v>
      </c>
      <c r="I82" s="47">
        <v>1</v>
      </c>
      <c r="J82" s="47">
        <v>1</v>
      </c>
      <c r="K82" s="47" t="s">
        <v>558</v>
      </c>
      <c r="L82" s="47" t="s">
        <v>569</v>
      </c>
      <c r="M82" s="47">
        <v>2010</v>
      </c>
      <c r="N82" s="33" t="str">
        <f>HYPERLINK("http://services.igi-global.com/resolvedoi/resolve.aspx?doi=10.4018/978-1-60566-729-4")</f>
        <v>http://services.igi-global.com/resolvedoi/resolve.aspx?doi=10.4018/978-1-60566-729-4</v>
      </c>
    </row>
    <row r="83" spans="1:14">
      <c r="A83" s="47">
        <v>82</v>
      </c>
      <c r="B83" s="47" t="s">
        <v>571</v>
      </c>
      <c r="C83" s="47" t="s">
        <v>554</v>
      </c>
      <c r="D83" s="48" t="s">
        <v>1075</v>
      </c>
      <c r="E83" s="48" t="s">
        <v>1076</v>
      </c>
      <c r="F83" s="47" t="s">
        <v>1077</v>
      </c>
      <c r="G83" s="47" t="s">
        <v>1078</v>
      </c>
      <c r="H83" s="47" t="s">
        <v>1079</v>
      </c>
      <c r="I83" s="47">
        <v>1</v>
      </c>
      <c r="J83" s="47">
        <v>1</v>
      </c>
      <c r="K83" s="47" t="s">
        <v>573</v>
      </c>
      <c r="L83" s="47" t="s">
        <v>569</v>
      </c>
      <c r="M83" s="47">
        <v>2010</v>
      </c>
      <c r="N83" s="33" t="str">
        <f>HYPERLINK("http://services.igi-global.com/resolvedoi/resolve.aspx?doi=10.4018/978-1-61520-879-1")</f>
        <v>http://services.igi-global.com/resolvedoi/resolve.aspx?doi=10.4018/978-1-61520-879-1</v>
      </c>
    </row>
    <row r="84" spans="1:14">
      <c r="A84" s="47">
        <v>83</v>
      </c>
      <c r="B84" s="47" t="s">
        <v>571</v>
      </c>
      <c r="C84" s="47" t="s">
        <v>554</v>
      </c>
      <c r="D84" s="48" t="s">
        <v>1086</v>
      </c>
      <c r="E84" s="48" t="s">
        <v>1128</v>
      </c>
      <c r="F84" s="47" t="s">
        <v>1129</v>
      </c>
      <c r="G84" s="47" t="s">
        <v>1130</v>
      </c>
      <c r="H84" s="47" t="s">
        <v>1131</v>
      </c>
      <c r="I84" s="47">
        <v>1</v>
      </c>
      <c r="J84" s="47">
        <v>1</v>
      </c>
      <c r="K84" s="47" t="s">
        <v>1132</v>
      </c>
      <c r="L84" s="47" t="s">
        <v>569</v>
      </c>
      <c r="M84" s="47">
        <v>2010</v>
      </c>
      <c r="N84" s="33" t="str">
        <f>HYPERLINK("http://services.igi-global.com/resolvedoi/resolve.aspx?doi=10.4018/978-1-61520-731-2")</f>
        <v>http://services.igi-global.com/resolvedoi/resolve.aspx?doi=10.4018/978-1-61520-731-2</v>
      </c>
    </row>
    <row r="85" spans="1:14">
      <c r="A85" s="47">
        <v>84</v>
      </c>
      <c r="B85" s="47" t="s">
        <v>571</v>
      </c>
      <c r="C85" s="47" t="s">
        <v>554</v>
      </c>
      <c r="D85" s="48" t="s">
        <v>531</v>
      </c>
      <c r="E85" s="48" t="s">
        <v>1108</v>
      </c>
      <c r="F85" s="47" t="s">
        <v>1109</v>
      </c>
      <c r="G85" s="47" t="s">
        <v>1110</v>
      </c>
      <c r="H85" s="47" t="s">
        <v>1111</v>
      </c>
      <c r="I85" s="47">
        <v>1</v>
      </c>
      <c r="J85" s="47">
        <v>1</v>
      </c>
      <c r="K85" s="47" t="s">
        <v>1112</v>
      </c>
      <c r="L85" s="47" t="s">
        <v>569</v>
      </c>
      <c r="M85" s="47">
        <v>2010</v>
      </c>
      <c r="N85" s="33" t="str">
        <f>HYPERLINK("http://services.igi-global.com/resolvedoi/resolve.aspx?doi=10.4018/978-1-61520-845-6")</f>
        <v>http://services.igi-global.com/resolvedoi/resolve.aspx?doi=10.4018/978-1-61520-845-6</v>
      </c>
    </row>
    <row r="86" spans="1:14">
      <c r="A86" s="47">
        <v>85</v>
      </c>
      <c r="B86" s="47" t="s">
        <v>571</v>
      </c>
      <c r="C86" s="47" t="s">
        <v>554</v>
      </c>
      <c r="D86" s="48" t="s">
        <v>993</v>
      </c>
      <c r="E86" s="48" t="s">
        <v>1138</v>
      </c>
      <c r="F86" s="47" t="s">
        <v>1139</v>
      </c>
      <c r="G86" s="47" t="s">
        <v>1140</v>
      </c>
      <c r="H86" s="47" t="s">
        <v>1141</v>
      </c>
      <c r="I86" s="47">
        <v>1</v>
      </c>
      <c r="J86" s="47">
        <v>1</v>
      </c>
      <c r="K86" s="47" t="s">
        <v>1142</v>
      </c>
      <c r="L86" s="47" t="s">
        <v>569</v>
      </c>
      <c r="M86" s="47">
        <v>2010</v>
      </c>
      <c r="N86" s="33" t="str">
        <f>HYPERLINK("http://services.igi-global.com/resolvedoi/resolve.aspx?doi=10.4018/978-1-61520-690-2")</f>
        <v>http://services.igi-global.com/resolvedoi/resolve.aspx?doi=10.4018/978-1-61520-690-2</v>
      </c>
    </row>
    <row r="87" spans="1:14">
      <c r="A87" s="47">
        <v>86</v>
      </c>
      <c r="B87" s="47" t="s">
        <v>571</v>
      </c>
      <c r="C87" s="47" t="s">
        <v>554</v>
      </c>
      <c r="D87" s="48" t="s">
        <v>499</v>
      </c>
      <c r="E87" s="48" t="s">
        <v>1176</v>
      </c>
      <c r="F87" s="47" t="s">
        <v>1177</v>
      </c>
      <c r="G87" s="47" t="s">
        <v>1178</v>
      </c>
      <c r="H87" s="47" t="s">
        <v>1179</v>
      </c>
      <c r="I87" s="47">
        <v>1</v>
      </c>
      <c r="J87" s="47">
        <v>1</v>
      </c>
      <c r="K87" s="47" t="s">
        <v>1180</v>
      </c>
      <c r="L87" s="47" t="s">
        <v>569</v>
      </c>
      <c r="M87" s="47">
        <v>2009</v>
      </c>
      <c r="N87" s="33" t="str">
        <f>HYPERLINK("http://services.igi-global.com/resolvedoi/resolve.aspx?doi=10.4018/978-1-60566-392-0")</f>
        <v>http://services.igi-global.com/resolvedoi/resolve.aspx?doi=10.4018/978-1-60566-392-0</v>
      </c>
    </row>
    <row r="88" spans="1:14">
      <c r="A88" s="47">
        <v>87</v>
      </c>
      <c r="B88" s="47" t="s">
        <v>571</v>
      </c>
      <c r="C88" s="47" t="s">
        <v>554</v>
      </c>
      <c r="D88" s="48" t="s">
        <v>519</v>
      </c>
      <c r="E88" s="48" t="s">
        <v>1181</v>
      </c>
      <c r="F88" s="47" t="s">
        <v>1182</v>
      </c>
      <c r="G88" s="47" t="s">
        <v>1183</v>
      </c>
      <c r="H88" s="47" t="s">
        <v>1184</v>
      </c>
      <c r="I88" s="47">
        <v>1</v>
      </c>
      <c r="J88" s="47">
        <v>1</v>
      </c>
      <c r="K88" s="47" t="s">
        <v>1185</v>
      </c>
      <c r="L88" s="47" t="s">
        <v>569</v>
      </c>
      <c r="M88" s="47">
        <v>2009</v>
      </c>
      <c r="N88" s="33" t="str">
        <f>HYPERLINK("http://services.igi-global.com/resolvedoi/resolve.aspx?doi=10.4018/978-1-60566-360-9")</f>
        <v>http://services.igi-global.com/resolvedoi/resolve.aspx?doi=10.4018/978-1-60566-360-9</v>
      </c>
    </row>
    <row r="89" spans="1:14">
      <c r="A89" s="47">
        <v>88</v>
      </c>
      <c r="B89" s="47" t="s">
        <v>571</v>
      </c>
      <c r="C89" s="47" t="s">
        <v>1251</v>
      </c>
      <c r="D89" s="48" t="s">
        <v>202</v>
      </c>
      <c r="E89" s="48" t="s">
        <v>203</v>
      </c>
      <c r="F89" s="47" t="s">
        <v>204</v>
      </c>
      <c r="G89" s="47" t="s">
        <v>205</v>
      </c>
      <c r="H89" s="47" t="s">
        <v>206</v>
      </c>
      <c r="I89" s="47">
        <v>1</v>
      </c>
      <c r="J89" s="47">
        <v>1</v>
      </c>
      <c r="K89" s="47" t="s">
        <v>207</v>
      </c>
      <c r="L89" s="47" t="s">
        <v>569</v>
      </c>
      <c r="M89" s="47">
        <v>2012</v>
      </c>
      <c r="N89" s="33" t="str">
        <f>HYPERLINK("http://services.igi-global.com/resolvedoi/resolve.aspx?doi=10.4018/978-1-46660-116-1")</f>
        <v>http://services.igi-global.com/resolvedoi/resolve.aspx?doi=10.4018/978-1-46660-116-1</v>
      </c>
    </row>
    <row r="90" spans="1:14">
      <c r="A90" s="47">
        <v>89</v>
      </c>
      <c r="B90" s="47" t="s">
        <v>571</v>
      </c>
      <c r="C90" s="47" t="s">
        <v>1251</v>
      </c>
      <c r="D90" s="48" t="s">
        <v>104</v>
      </c>
      <c r="E90" s="48" t="s">
        <v>105</v>
      </c>
      <c r="F90" s="47" t="s">
        <v>106</v>
      </c>
      <c r="G90" s="47" t="s">
        <v>107</v>
      </c>
      <c r="H90" s="47" t="s">
        <v>108</v>
      </c>
      <c r="I90" s="47">
        <v>1</v>
      </c>
      <c r="J90" s="47">
        <v>1</v>
      </c>
      <c r="K90" s="47" t="s">
        <v>109</v>
      </c>
      <c r="L90" s="47" t="s">
        <v>569</v>
      </c>
      <c r="M90" s="47">
        <v>2012</v>
      </c>
      <c r="N90" s="33" t="str">
        <f>HYPERLINK("http://services.igi-global.com/resolvedoi/resolve.aspx?doi=10.4018/978-1-46660-276-2")</f>
        <v>http://services.igi-global.com/resolvedoi/resolve.aspx?doi=10.4018/978-1-46660-276-2</v>
      </c>
    </row>
    <row r="91" spans="1:14">
      <c r="A91" s="47">
        <v>90</v>
      </c>
      <c r="B91" s="47" t="s">
        <v>571</v>
      </c>
      <c r="C91" s="47" t="s">
        <v>1251</v>
      </c>
      <c r="D91" s="48" t="s">
        <v>1504</v>
      </c>
      <c r="E91" s="48" t="s">
        <v>1505</v>
      </c>
      <c r="F91" s="47" t="s">
        <v>1506</v>
      </c>
      <c r="G91" s="47" t="s">
        <v>1507</v>
      </c>
      <c r="H91" s="47" t="s">
        <v>1508</v>
      </c>
      <c r="I91" s="47">
        <v>1</v>
      </c>
      <c r="J91" s="47">
        <v>1</v>
      </c>
      <c r="K91" s="47" t="s">
        <v>1509</v>
      </c>
      <c r="L91" s="47" t="s">
        <v>569</v>
      </c>
      <c r="M91" s="47">
        <v>2012</v>
      </c>
      <c r="N91" s="33" t="str">
        <f>HYPERLINK("http://services.igi-global.com/resolvedoi/resolve.aspx?doi=10.4018/978-1-46661-646-2")</f>
        <v>http://services.igi-global.com/resolvedoi/resolve.aspx?doi=10.4018/978-1-46661-646-2</v>
      </c>
    </row>
    <row r="92" spans="1:14">
      <c r="A92" s="47">
        <v>91</v>
      </c>
      <c r="B92" s="47" t="s">
        <v>571</v>
      </c>
      <c r="C92" s="47" t="s">
        <v>1251</v>
      </c>
      <c r="D92" s="48" t="s">
        <v>492</v>
      </c>
      <c r="E92" s="48" t="s">
        <v>59</v>
      </c>
      <c r="F92" s="47" t="s">
        <v>60</v>
      </c>
      <c r="G92" s="47" t="s">
        <v>61</v>
      </c>
      <c r="H92" s="47" t="s">
        <v>62</v>
      </c>
      <c r="I92" s="47">
        <v>1</v>
      </c>
      <c r="J92" s="47">
        <v>1</v>
      </c>
      <c r="K92" s="47" t="s">
        <v>63</v>
      </c>
      <c r="L92" s="47" t="s">
        <v>569</v>
      </c>
      <c r="M92" s="47">
        <v>2012</v>
      </c>
      <c r="N92" s="33" t="str">
        <f>HYPERLINK("http://services.igi-global.com/resolvedoi/resolve.aspx?doi=10.4018/978-1-46660-246-5")</f>
        <v>http://services.igi-global.com/resolvedoi/resolve.aspx?doi=10.4018/978-1-46660-246-5</v>
      </c>
    </row>
    <row r="93" spans="1:14">
      <c r="A93" s="47">
        <v>92</v>
      </c>
      <c r="B93" s="47" t="s">
        <v>571</v>
      </c>
      <c r="C93" s="47" t="s">
        <v>1251</v>
      </c>
      <c r="D93" s="48" t="s">
        <v>512</v>
      </c>
      <c r="E93" s="48" t="s">
        <v>80</v>
      </c>
      <c r="F93" s="47" t="s">
        <v>81</v>
      </c>
      <c r="G93" s="47" t="s">
        <v>82</v>
      </c>
      <c r="H93" s="47" t="s">
        <v>83</v>
      </c>
      <c r="I93" s="47">
        <v>1</v>
      </c>
      <c r="J93" s="47">
        <v>1</v>
      </c>
      <c r="K93" s="47" t="s">
        <v>84</v>
      </c>
      <c r="L93" s="47" t="s">
        <v>569</v>
      </c>
      <c r="M93" s="47">
        <v>2012</v>
      </c>
      <c r="N93" s="33" t="str">
        <f>HYPERLINK("http://services.igi-global.com/resolvedoi/resolve.aspx?doi=10.4018/978-1-46660-258-8")</f>
        <v>http://services.igi-global.com/resolvedoi/resolve.aspx?doi=10.4018/978-1-46660-258-8</v>
      </c>
    </row>
    <row r="94" spans="1:14">
      <c r="A94" s="47">
        <v>93</v>
      </c>
      <c r="B94" s="47" t="s">
        <v>571</v>
      </c>
      <c r="C94" s="47" t="s">
        <v>1251</v>
      </c>
      <c r="D94" s="48" t="s">
        <v>1492</v>
      </c>
      <c r="E94" s="48" t="s">
        <v>1582</v>
      </c>
      <c r="F94" s="47" t="s">
        <v>1583</v>
      </c>
      <c r="G94" s="47" t="s">
        <v>1584</v>
      </c>
      <c r="H94" s="47" t="s">
        <v>1585</v>
      </c>
      <c r="I94" s="47">
        <v>1</v>
      </c>
      <c r="J94" s="47">
        <v>1</v>
      </c>
      <c r="K94" s="47" t="s">
        <v>1586</v>
      </c>
      <c r="L94" s="47" t="s">
        <v>569</v>
      </c>
      <c r="M94" s="47">
        <v>2012</v>
      </c>
      <c r="N94" s="33" t="str">
        <f>HYPERLINK("http://services.igi-global.com/resolvedoi/resolve.aspx?doi=10.4018/978-1-46660-915-0")</f>
        <v>http://services.igi-global.com/resolvedoi/resolve.aspx?doi=10.4018/978-1-46660-915-0</v>
      </c>
    </row>
    <row r="95" spans="1:14">
      <c r="A95" s="47">
        <v>94</v>
      </c>
      <c r="B95" s="47" t="s">
        <v>571</v>
      </c>
      <c r="C95" s="47" t="s">
        <v>1251</v>
      </c>
      <c r="D95" s="48" t="s">
        <v>1463</v>
      </c>
      <c r="E95" s="48" t="s">
        <v>1464</v>
      </c>
      <c r="F95" s="47" t="s">
        <v>1465</v>
      </c>
      <c r="G95" s="47" t="s">
        <v>1466</v>
      </c>
      <c r="H95" s="47" t="s">
        <v>1467</v>
      </c>
      <c r="I95" s="47">
        <v>1</v>
      </c>
      <c r="J95" s="47">
        <v>1</v>
      </c>
      <c r="K95" s="47" t="s">
        <v>1468</v>
      </c>
      <c r="L95" s="47" t="s">
        <v>569</v>
      </c>
      <c r="M95" s="47">
        <v>2012</v>
      </c>
      <c r="N95" s="33" t="str">
        <f>HYPERLINK("http://services.igi-global.com/resolvedoi/resolve.aspx?doi=10.4018/978-1-46661-625-7")</f>
        <v>http://services.igi-global.com/resolvedoi/resolve.aspx?doi=10.4018/978-1-46661-625-7</v>
      </c>
    </row>
    <row r="96" spans="1:14">
      <c r="A96" s="47">
        <v>95</v>
      </c>
      <c r="B96" s="47" t="s">
        <v>571</v>
      </c>
      <c r="C96" s="47" t="s">
        <v>1251</v>
      </c>
      <c r="D96" s="48" t="s">
        <v>520</v>
      </c>
      <c r="E96" s="48" t="s">
        <v>622</v>
      </c>
      <c r="F96" s="47" t="s">
        <v>623</v>
      </c>
      <c r="G96" s="47" t="s">
        <v>624</v>
      </c>
      <c r="H96" s="47" t="s">
        <v>625</v>
      </c>
      <c r="I96" s="47">
        <v>1</v>
      </c>
      <c r="J96" s="47">
        <v>1</v>
      </c>
      <c r="K96" s="47" t="s">
        <v>626</v>
      </c>
      <c r="L96" s="47" t="s">
        <v>569</v>
      </c>
      <c r="M96" s="47">
        <v>2012</v>
      </c>
      <c r="N96" s="33" t="str">
        <f>HYPERLINK("http://services.igi-global.com/resolvedoi/resolve.aspx?doi=10.4018/978-1-61350-453-6")</f>
        <v>http://services.igi-global.com/resolvedoi/resolve.aspx?doi=10.4018/978-1-61350-453-6</v>
      </c>
    </row>
    <row r="97" spans="1:14">
      <c r="A97" s="47">
        <v>96</v>
      </c>
      <c r="B97" s="47" t="s">
        <v>571</v>
      </c>
      <c r="C97" s="47" t="s">
        <v>1251</v>
      </c>
      <c r="D97" s="48" t="s">
        <v>508</v>
      </c>
      <c r="E97" s="48" t="s">
        <v>1540</v>
      </c>
      <c r="F97" s="47" t="s">
        <v>1541</v>
      </c>
      <c r="G97" s="47" t="s">
        <v>1542</v>
      </c>
      <c r="H97" s="47" t="s">
        <v>1543</v>
      </c>
      <c r="I97" s="47">
        <v>1</v>
      </c>
      <c r="J97" s="47">
        <v>1</v>
      </c>
      <c r="K97" s="47" t="s">
        <v>1544</v>
      </c>
      <c r="L97" s="47" t="s">
        <v>569</v>
      </c>
      <c r="M97" s="47">
        <v>2012</v>
      </c>
      <c r="N97" s="33" t="str">
        <f>HYPERLINK("http://services.igi-global.com/resolvedoi/resolve.aspx?doi=10.4018/978-1-46660-891-7")</f>
        <v>http://services.igi-global.com/resolvedoi/resolve.aspx?doi=10.4018/978-1-46660-891-7</v>
      </c>
    </row>
    <row r="98" spans="1:14">
      <c r="A98" s="47">
        <v>97</v>
      </c>
      <c r="B98" s="47" t="s">
        <v>571</v>
      </c>
      <c r="C98" s="47" t="s">
        <v>1251</v>
      </c>
      <c r="D98" s="48" t="s">
        <v>491</v>
      </c>
      <c r="E98" s="48" t="s">
        <v>1252</v>
      </c>
      <c r="F98" s="47" t="s">
        <v>1253</v>
      </c>
      <c r="G98" s="47" t="s">
        <v>1254</v>
      </c>
      <c r="H98" s="47" t="s">
        <v>1255</v>
      </c>
      <c r="I98" s="47">
        <v>1</v>
      </c>
      <c r="J98" s="47">
        <v>1</v>
      </c>
      <c r="K98" s="47" t="s">
        <v>1256</v>
      </c>
      <c r="L98" s="47" t="s">
        <v>569</v>
      </c>
      <c r="M98" s="47">
        <v>2012</v>
      </c>
      <c r="N98" s="33" t="str">
        <f>HYPERLINK("http://services.igi-global.com/resolvedoi/resolve.aspx?doi=10.4018/978-1-46661-752-0")</f>
        <v>http://services.igi-global.com/resolvedoi/resolve.aspx?doi=10.4018/978-1-46661-752-0</v>
      </c>
    </row>
    <row r="99" spans="1:14">
      <c r="A99" s="47">
        <v>98</v>
      </c>
      <c r="B99" s="47" t="s">
        <v>571</v>
      </c>
      <c r="C99" s="47" t="s">
        <v>1251</v>
      </c>
      <c r="D99" s="48" t="s">
        <v>1530</v>
      </c>
      <c r="E99" s="48" t="s">
        <v>1531</v>
      </c>
      <c r="F99" s="47" t="s">
        <v>1532</v>
      </c>
      <c r="G99" s="47" t="s">
        <v>1533</v>
      </c>
      <c r="H99" s="47" t="s">
        <v>1534</v>
      </c>
      <c r="I99" s="47">
        <v>3</v>
      </c>
      <c r="J99" s="47">
        <v>1</v>
      </c>
      <c r="K99" s="47" t="s">
        <v>1424</v>
      </c>
      <c r="L99" s="47" t="s">
        <v>569</v>
      </c>
      <c r="M99" s="47">
        <v>2012</v>
      </c>
      <c r="N99" s="33" t="str">
        <f>HYPERLINK("http://services.igi-global.com/resolvedoi/resolve.aspx?doi=10.4018/978-1-46660-882-5")</f>
        <v>http://services.igi-global.com/resolvedoi/resolve.aspx?doi=10.4018/978-1-46660-882-5</v>
      </c>
    </row>
    <row r="100" spans="1:14">
      <c r="A100" s="47">
        <v>99</v>
      </c>
      <c r="B100" s="47" t="s">
        <v>571</v>
      </c>
      <c r="C100" s="47" t="s">
        <v>1251</v>
      </c>
      <c r="D100" s="48" t="s">
        <v>414</v>
      </c>
      <c r="E100" s="48" t="s">
        <v>989</v>
      </c>
      <c r="F100" s="47" t="s">
        <v>990</v>
      </c>
      <c r="G100" s="47" t="s">
        <v>991</v>
      </c>
      <c r="H100" s="47" t="s">
        <v>992</v>
      </c>
      <c r="I100" s="47">
        <v>1</v>
      </c>
      <c r="J100" s="47">
        <v>1</v>
      </c>
      <c r="K100" s="47" t="s">
        <v>383</v>
      </c>
      <c r="L100" s="47" t="s">
        <v>569</v>
      </c>
      <c r="M100" s="47">
        <v>2012</v>
      </c>
      <c r="N100" s="33" t="str">
        <f>HYPERLINK("http://services.igi-global.com/resolvedoi/resolve.aspx?doi=10.4018/978-1-60960-863-7")</f>
        <v>http://services.igi-global.com/resolvedoi/resolve.aspx?doi=10.4018/978-1-60960-863-7</v>
      </c>
    </row>
    <row r="101" spans="1:14">
      <c r="A101" s="47">
        <v>100</v>
      </c>
      <c r="B101" s="47" t="s">
        <v>571</v>
      </c>
      <c r="C101" s="47" t="s">
        <v>1251</v>
      </c>
      <c r="D101" s="48" t="s">
        <v>1492</v>
      </c>
      <c r="E101" s="48" t="s">
        <v>1493</v>
      </c>
      <c r="F101" s="47" t="s">
        <v>1494</v>
      </c>
      <c r="G101" s="47" t="s">
        <v>1495</v>
      </c>
      <c r="H101" s="47" t="s">
        <v>1496</v>
      </c>
      <c r="I101" s="47">
        <v>1</v>
      </c>
      <c r="J101" s="47">
        <v>1</v>
      </c>
      <c r="K101" s="47" t="s">
        <v>1497</v>
      </c>
      <c r="L101" s="47" t="s">
        <v>1233</v>
      </c>
      <c r="M101" s="47">
        <v>2012</v>
      </c>
      <c r="N101" s="33" t="str">
        <f>HYPERLINK("http://services.igi-global.com/resolvedoi/resolve.aspx?doi=10.4018/978-1-46661-640-0")</f>
        <v>http://services.igi-global.com/resolvedoi/resolve.aspx?doi=10.4018/978-1-46661-640-0</v>
      </c>
    </row>
    <row r="102" spans="1:14">
      <c r="A102" s="47">
        <v>101</v>
      </c>
      <c r="B102" s="47" t="s">
        <v>571</v>
      </c>
      <c r="C102" s="47" t="s">
        <v>1251</v>
      </c>
      <c r="D102" s="48" t="s">
        <v>1358</v>
      </c>
      <c r="E102" s="48" t="s">
        <v>1359</v>
      </c>
      <c r="F102" s="47" t="s">
        <v>1360</v>
      </c>
      <c r="G102" s="47" t="s">
        <v>1361</v>
      </c>
      <c r="H102" s="47" t="s">
        <v>1362</v>
      </c>
      <c r="I102" s="47">
        <v>1</v>
      </c>
      <c r="J102" s="47">
        <v>1</v>
      </c>
      <c r="K102" s="47" t="s">
        <v>1363</v>
      </c>
      <c r="L102" s="47" t="s">
        <v>569</v>
      </c>
      <c r="M102" s="47">
        <v>2012</v>
      </c>
      <c r="N102" s="33" t="str">
        <f>HYPERLINK("http://services.igi-global.com/resolvedoi/resolve.aspx?doi=10.4018/978-1-46661-839-8")</f>
        <v>http://services.igi-global.com/resolvedoi/resolve.aspx?doi=10.4018/978-1-46661-839-8</v>
      </c>
    </row>
    <row r="103" spans="1:14">
      <c r="A103" s="47">
        <v>102</v>
      </c>
      <c r="B103" s="47" t="s">
        <v>571</v>
      </c>
      <c r="C103" s="47" t="s">
        <v>1251</v>
      </c>
      <c r="D103" s="48" t="s">
        <v>1398</v>
      </c>
      <c r="E103" s="48" t="s">
        <v>1399</v>
      </c>
      <c r="F103" s="47" t="s">
        <v>1400</v>
      </c>
      <c r="G103" s="47" t="s">
        <v>1401</v>
      </c>
      <c r="H103" s="47" t="s">
        <v>1402</v>
      </c>
      <c r="I103" s="47">
        <v>1</v>
      </c>
      <c r="J103" s="47">
        <v>1</v>
      </c>
      <c r="K103" s="47" t="s">
        <v>1403</v>
      </c>
      <c r="L103" s="47" t="s">
        <v>569</v>
      </c>
      <c r="M103" s="47">
        <v>2012</v>
      </c>
      <c r="N103" s="33" t="str">
        <f>HYPERLINK("http://services.igi-global.com/resolvedoi/resolve.aspx?doi=10.4018/978-1-46661-586-1")</f>
        <v>http://services.igi-global.com/resolvedoi/resolve.aspx?doi=10.4018/978-1-46661-586-1</v>
      </c>
    </row>
    <row r="104" spans="1:14">
      <c r="A104" s="47">
        <v>103</v>
      </c>
      <c r="B104" s="47" t="s">
        <v>571</v>
      </c>
      <c r="C104" s="47" t="s">
        <v>1251</v>
      </c>
      <c r="D104" s="48" t="s">
        <v>178</v>
      </c>
      <c r="E104" s="48" t="s">
        <v>179</v>
      </c>
      <c r="F104" s="47" t="s">
        <v>180</v>
      </c>
      <c r="G104" s="47" t="s">
        <v>181</v>
      </c>
      <c r="H104" s="47" t="s">
        <v>182</v>
      </c>
      <c r="I104" s="47">
        <v>1</v>
      </c>
      <c r="J104" s="47">
        <v>1</v>
      </c>
      <c r="K104" s="47" t="s">
        <v>183</v>
      </c>
      <c r="L104" s="47" t="s">
        <v>569</v>
      </c>
      <c r="M104" s="47">
        <v>2012</v>
      </c>
      <c r="N104" s="33" t="str">
        <f>HYPERLINK("http://services.igi-global.com/resolvedoi/resolve.aspx?doi=10.4018/978-1-46660-327-1")</f>
        <v>http://services.igi-global.com/resolvedoi/resolve.aspx?doi=10.4018/978-1-46660-327-1</v>
      </c>
    </row>
    <row r="105" spans="1:14">
      <c r="A105" s="47">
        <v>104</v>
      </c>
      <c r="B105" s="47" t="s">
        <v>571</v>
      </c>
      <c r="C105" s="47" t="s">
        <v>560</v>
      </c>
      <c r="D105" s="48" t="s">
        <v>196</v>
      </c>
      <c r="E105" s="48" t="s">
        <v>197</v>
      </c>
      <c r="F105" s="47" t="s">
        <v>198</v>
      </c>
      <c r="G105" s="47" t="s">
        <v>199</v>
      </c>
      <c r="H105" s="47" t="s">
        <v>200</v>
      </c>
      <c r="I105" s="47">
        <v>1</v>
      </c>
      <c r="J105" s="47">
        <v>1</v>
      </c>
      <c r="K105" s="47" t="s">
        <v>201</v>
      </c>
      <c r="L105" s="47" t="s">
        <v>569</v>
      </c>
      <c r="M105" s="47">
        <v>2012</v>
      </c>
      <c r="N105" s="33" t="str">
        <f>HYPERLINK("http://services.igi-global.com/resolvedoi/resolve.aspx?doi=10.4018/978-1-46660-113-0")</f>
        <v>http://services.igi-global.com/resolvedoi/resolve.aspx?doi=10.4018/978-1-46660-113-0</v>
      </c>
    </row>
    <row r="106" spans="1:14">
      <c r="A106" s="47">
        <v>105</v>
      </c>
      <c r="B106" s="47" t="s">
        <v>571</v>
      </c>
      <c r="C106" s="47" t="s">
        <v>560</v>
      </c>
      <c r="D106" s="48" t="s">
        <v>616</v>
      </c>
      <c r="E106" s="48" t="s">
        <v>819</v>
      </c>
      <c r="F106" s="47" t="s">
        <v>820</v>
      </c>
      <c r="G106" s="47" t="s">
        <v>821</v>
      </c>
      <c r="H106" s="47" t="s">
        <v>822</v>
      </c>
      <c r="I106" s="47">
        <v>1</v>
      </c>
      <c r="J106" s="47">
        <v>1</v>
      </c>
      <c r="K106" s="47" t="s">
        <v>823</v>
      </c>
      <c r="L106" s="47" t="s">
        <v>569</v>
      </c>
      <c r="M106" s="47">
        <v>2012</v>
      </c>
      <c r="N106" s="33" t="str">
        <f>HYPERLINK("http://services.igi-global.com/resolvedoi/resolve.aspx?doi=10.4018/978-1-60960-741-8")</f>
        <v>http://services.igi-global.com/resolvedoi/resolve.aspx?doi=10.4018/978-1-60960-741-8</v>
      </c>
    </row>
    <row r="107" spans="1:14">
      <c r="A107" s="47">
        <v>106</v>
      </c>
      <c r="B107" s="47" t="s">
        <v>571</v>
      </c>
      <c r="C107" s="47" t="s">
        <v>560</v>
      </c>
      <c r="D107" s="48" t="s">
        <v>500</v>
      </c>
      <c r="E107" s="48" t="s">
        <v>89</v>
      </c>
      <c r="F107" s="47" t="s">
        <v>90</v>
      </c>
      <c r="G107" s="47" t="s">
        <v>91</v>
      </c>
      <c r="H107" s="47" t="s">
        <v>92</v>
      </c>
      <c r="I107" s="47">
        <v>1</v>
      </c>
      <c r="J107" s="47">
        <v>1</v>
      </c>
      <c r="K107" s="47" t="s">
        <v>1238</v>
      </c>
      <c r="L107" s="47" t="s">
        <v>569</v>
      </c>
      <c r="M107" s="47">
        <v>2012</v>
      </c>
      <c r="N107" s="33" t="str">
        <f>HYPERLINK("http://services.igi-global.com/resolvedoi/resolve.aspx?doi=10.4018/978-1-46660-264-9")</f>
        <v>http://services.igi-global.com/resolvedoi/resolve.aspx?doi=10.4018/978-1-46660-264-9</v>
      </c>
    </row>
    <row r="108" spans="1:14">
      <c r="A108" s="47">
        <v>107</v>
      </c>
      <c r="B108" s="47" t="s">
        <v>571</v>
      </c>
      <c r="C108" s="47" t="s">
        <v>560</v>
      </c>
      <c r="D108" s="48" t="s">
        <v>1446</v>
      </c>
      <c r="E108" s="48" t="s">
        <v>1447</v>
      </c>
      <c r="F108" s="47" t="s">
        <v>1448</v>
      </c>
      <c r="G108" s="47" t="s">
        <v>1449</v>
      </c>
      <c r="H108" s="47" t="s">
        <v>1450</v>
      </c>
      <c r="I108" s="47">
        <v>1</v>
      </c>
      <c r="J108" s="47">
        <v>1</v>
      </c>
      <c r="K108" s="47" t="s">
        <v>1451</v>
      </c>
      <c r="L108" s="47" t="s">
        <v>569</v>
      </c>
      <c r="M108" s="47">
        <v>2012</v>
      </c>
      <c r="N108" s="33" t="str">
        <f>HYPERLINK("http://services.igi-global.com/resolvedoi/resolve.aspx?doi=10.4018/978-1-46661-616-5")</f>
        <v>http://services.igi-global.com/resolvedoi/resolve.aspx?doi=10.4018/978-1-46661-616-5</v>
      </c>
    </row>
    <row r="109" spans="1:14">
      <c r="A109" s="47">
        <v>108</v>
      </c>
      <c r="B109" s="47" t="s">
        <v>571</v>
      </c>
      <c r="C109" s="47" t="s">
        <v>560</v>
      </c>
      <c r="D109" s="48" t="s">
        <v>1469</v>
      </c>
      <c r="E109" s="48" t="s">
        <v>1470</v>
      </c>
      <c r="F109" s="47" t="s">
        <v>1471</v>
      </c>
      <c r="G109" s="47" t="s">
        <v>1472</v>
      </c>
      <c r="H109" s="47" t="s">
        <v>1473</v>
      </c>
      <c r="I109" s="47">
        <v>1</v>
      </c>
      <c r="J109" s="47">
        <v>1</v>
      </c>
      <c r="K109" s="47" t="s">
        <v>1474</v>
      </c>
      <c r="L109" s="47" t="s">
        <v>569</v>
      </c>
      <c r="M109" s="47">
        <v>2012</v>
      </c>
      <c r="N109" s="33" t="str">
        <f>HYPERLINK("http://services.igi-global.com/resolvedoi/resolve.aspx?doi=10.4018/978-1-46661-628-8")</f>
        <v>http://services.igi-global.com/resolvedoi/resolve.aspx?doi=10.4018/978-1-46661-628-8</v>
      </c>
    </row>
    <row r="110" spans="1:14">
      <c r="A110" s="47">
        <v>109</v>
      </c>
      <c r="B110" s="47" t="s">
        <v>571</v>
      </c>
      <c r="C110" s="47" t="s">
        <v>560</v>
      </c>
      <c r="D110" s="48" t="s">
        <v>1414</v>
      </c>
      <c r="E110" s="48" t="s">
        <v>1415</v>
      </c>
      <c r="F110" s="47" t="s">
        <v>1416</v>
      </c>
      <c r="G110" s="47" t="s">
        <v>1417</v>
      </c>
      <c r="H110" s="47" t="s">
        <v>1418</v>
      </c>
      <c r="I110" s="47">
        <v>1</v>
      </c>
      <c r="J110" s="47">
        <v>1</v>
      </c>
      <c r="K110" s="47" t="s">
        <v>1419</v>
      </c>
      <c r="L110" s="47" t="s">
        <v>569</v>
      </c>
      <c r="M110" s="47">
        <v>2012</v>
      </c>
      <c r="N110" s="33" t="str">
        <f>HYPERLINK("http://services.igi-global.com/resolvedoi/resolve.aspx?doi=10.4018/978-1-46661-595-3")</f>
        <v>http://services.igi-global.com/resolvedoi/resolve.aspx?doi=10.4018/978-1-46661-595-3</v>
      </c>
    </row>
    <row r="111" spans="1:14">
      <c r="A111" s="47">
        <v>110</v>
      </c>
      <c r="B111" s="47" t="s">
        <v>571</v>
      </c>
      <c r="C111" s="47" t="s">
        <v>560</v>
      </c>
      <c r="D111" s="48" t="s">
        <v>616</v>
      </c>
      <c r="E111" s="48" t="s">
        <v>617</v>
      </c>
      <c r="F111" s="47" t="s">
        <v>618</v>
      </c>
      <c r="G111" s="47" t="s">
        <v>619</v>
      </c>
      <c r="H111" s="47" t="s">
        <v>620</v>
      </c>
      <c r="I111" s="47">
        <v>1</v>
      </c>
      <c r="J111" s="47">
        <v>1</v>
      </c>
      <c r="K111" s="47" t="s">
        <v>621</v>
      </c>
      <c r="L111" s="47" t="s">
        <v>569</v>
      </c>
      <c r="M111" s="47">
        <v>2012</v>
      </c>
      <c r="N111" s="33" t="str">
        <f>HYPERLINK("http://services.igi-global.com/resolvedoi/resolve.aspx?doi=10.4018/978-1-61350-447-5")</f>
        <v>http://services.igi-global.com/resolvedoi/resolve.aspx?doi=10.4018/978-1-61350-447-5</v>
      </c>
    </row>
    <row r="112" spans="1:14">
      <c r="A112" s="47">
        <v>111</v>
      </c>
      <c r="B112" s="47" t="s">
        <v>571</v>
      </c>
      <c r="C112" s="47" t="s">
        <v>560</v>
      </c>
      <c r="D112" s="48" t="s">
        <v>500</v>
      </c>
      <c r="E112" s="48" t="s">
        <v>583</v>
      </c>
      <c r="F112" s="47" t="s">
        <v>584</v>
      </c>
      <c r="G112" s="47" t="s">
        <v>585</v>
      </c>
      <c r="H112" s="47" t="s">
        <v>586</v>
      </c>
      <c r="I112" s="47">
        <v>1</v>
      </c>
      <c r="J112" s="47">
        <v>1</v>
      </c>
      <c r="K112" s="47" t="s">
        <v>587</v>
      </c>
      <c r="L112" s="47" t="s">
        <v>569</v>
      </c>
      <c r="M112" s="47">
        <v>2012</v>
      </c>
      <c r="N112" s="33" t="str">
        <f>HYPERLINK("http://services.igi-global.com/resolvedoi/resolve.aspx?doi=10.4018/978-1-61350-429-1")</f>
        <v>http://services.igi-global.com/resolvedoi/resolve.aspx?doi=10.4018/978-1-61350-429-1</v>
      </c>
    </row>
    <row r="113" spans="1:14">
      <c r="A113" s="47">
        <v>112</v>
      </c>
      <c r="B113" s="47" t="s">
        <v>571</v>
      </c>
      <c r="C113" s="47" t="s">
        <v>560</v>
      </c>
      <c r="D113" s="48" t="s">
        <v>500</v>
      </c>
      <c r="E113" s="48" t="s">
        <v>814</v>
      </c>
      <c r="F113" s="47" t="s">
        <v>815</v>
      </c>
      <c r="G113" s="47" t="s">
        <v>816</v>
      </c>
      <c r="H113" s="47" t="s">
        <v>817</v>
      </c>
      <c r="I113" s="47">
        <v>1</v>
      </c>
      <c r="J113" s="47">
        <v>1</v>
      </c>
      <c r="K113" s="47" t="s">
        <v>818</v>
      </c>
      <c r="L113" s="47" t="s">
        <v>569</v>
      </c>
      <c r="M113" s="47">
        <v>2012</v>
      </c>
      <c r="N113" s="33" t="str">
        <f>HYPERLINK("http://services.igi-global.com/resolvedoi/resolve.aspx?doi=10.4018/978-1-60960-165-2")</f>
        <v>http://services.igi-global.com/resolvedoi/resolve.aspx?doi=10.4018/978-1-60960-165-2</v>
      </c>
    </row>
    <row r="114" spans="1:14">
      <c r="A114" s="47">
        <v>113</v>
      </c>
      <c r="B114" s="47" t="s">
        <v>571</v>
      </c>
      <c r="C114" s="47" t="s">
        <v>560</v>
      </c>
      <c r="D114" s="48" t="s">
        <v>522</v>
      </c>
      <c r="E114" s="48" t="s">
        <v>1234</v>
      </c>
      <c r="F114" s="47" t="s">
        <v>1235</v>
      </c>
      <c r="G114" s="47" t="s">
        <v>1236</v>
      </c>
      <c r="H114" s="47" t="s">
        <v>1237</v>
      </c>
      <c r="I114" s="47">
        <v>1</v>
      </c>
      <c r="J114" s="47">
        <v>1</v>
      </c>
      <c r="K114" s="47" t="s">
        <v>1238</v>
      </c>
      <c r="L114" s="47" t="s">
        <v>569</v>
      </c>
      <c r="M114" s="47">
        <v>2012</v>
      </c>
      <c r="N114" s="33" t="str">
        <f>HYPERLINK("http://services.igi-global.com/resolvedoi/resolve.aspx?doi=10.4018/978-1-46661-743-8")</f>
        <v>http://services.igi-global.com/resolvedoi/resolve.aspx?doi=10.4018/978-1-46661-743-8</v>
      </c>
    </row>
    <row r="115" spans="1:14">
      <c r="A115" s="47">
        <v>114</v>
      </c>
      <c r="B115" s="47" t="s">
        <v>571</v>
      </c>
      <c r="C115" s="47" t="s">
        <v>560</v>
      </c>
      <c r="D115" s="48" t="s">
        <v>500</v>
      </c>
      <c r="E115" s="48" t="s">
        <v>1409</v>
      </c>
      <c r="F115" s="47" t="s">
        <v>1410</v>
      </c>
      <c r="G115" s="47" t="s">
        <v>1411</v>
      </c>
      <c r="H115" s="47" t="s">
        <v>1412</v>
      </c>
      <c r="I115" s="47">
        <v>1</v>
      </c>
      <c r="J115" s="47">
        <v>1</v>
      </c>
      <c r="K115" s="47" t="s">
        <v>1413</v>
      </c>
      <c r="L115" s="47" t="s">
        <v>569</v>
      </c>
      <c r="M115" s="47">
        <v>2012</v>
      </c>
      <c r="N115" s="33" t="str">
        <f>HYPERLINK("http://services.igi-global.com/resolvedoi/resolve.aspx?doi=10.4018/978-1-46661-592-2")</f>
        <v>http://services.igi-global.com/resolvedoi/resolve.aspx?doi=10.4018/978-1-46661-592-2</v>
      </c>
    </row>
    <row r="116" spans="1:14">
      <c r="A116" s="47">
        <v>115</v>
      </c>
      <c r="B116" s="47" t="s">
        <v>571</v>
      </c>
      <c r="C116" s="47" t="s">
        <v>560</v>
      </c>
      <c r="D116" s="48" t="s">
        <v>521</v>
      </c>
      <c r="E116" s="48" t="s">
        <v>369</v>
      </c>
      <c r="F116" s="47" t="s">
        <v>370</v>
      </c>
      <c r="G116" s="47" t="s">
        <v>371</v>
      </c>
      <c r="H116" s="47" t="s">
        <v>372</v>
      </c>
      <c r="I116" s="47">
        <v>1</v>
      </c>
      <c r="J116" s="47">
        <v>1</v>
      </c>
      <c r="K116" s="47" t="s">
        <v>373</v>
      </c>
      <c r="L116" s="47" t="s">
        <v>569</v>
      </c>
      <c r="M116" s="47">
        <v>2012</v>
      </c>
      <c r="N116" s="33" t="str">
        <f>HYPERLINK("http://services.igi-global.com/resolvedoi/resolve.aspx?doi=10.4018/978-1-46660-038-6")</f>
        <v>http://services.igi-global.com/resolvedoi/resolve.aspx?doi=10.4018/978-1-46660-038-6</v>
      </c>
    </row>
    <row r="117" spans="1:14">
      <c r="A117" s="47">
        <v>116</v>
      </c>
      <c r="B117" s="47" t="s">
        <v>571</v>
      </c>
      <c r="C117" s="47" t="s">
        <v>560</v>
      </c>
      <c r="D117" s="48" t="s">
        <v>491</v>
      </c>
      <c r="E117" s="48" t="s">
        <v>253</v>
      </c>
      <c r="F117" s="47" t="s">
        <v>254</v>
      </c>
      <c r="G117" s="47" t="s">
        <v>255</v>
      </c>
      <c r="H117" s="47" t="s">
        <v>256</v>
      </c>
      <c r="I117" s="47">
        <v>1</v>
      </c>
      <c r="J117" s="47">
        <v>1</v>
      </c>
      <c r="K117" s="47" t="s">
        <v>575</v>
      </c>
      <c r="L117" s="47" t="s">
        <v>569</v>
      </c>
      <c r="M117" s="47">
        <v>2012</v>
      </c>
      <c r="N117" s="33" t="str">
        <f>HYPERLINK("http://services.igi-global.com/resolvedoi/resolve.aspx?doi=10.4018/978-1-46660-158-1")</f>
        <v>http://services.igi-global.com/resolvedoi/resolve.aspx?doi=10.4018/978-1-46660-158-1</v>
      </c>
    </row>
    <row r="118" spans="1:14">
      <c r="A118" s="47">
        <v>117</v>
      </c>
      <c r="B118" s="47" t="s">
        <v>571</v>
      </c>
      <c r="C118" s="47" t="s">
        <v>560</v>
      </c>
      <c r="D118" s="48" t="s">
        <v>491</v>
      </c>
      <c r="E118" s="48" t="s">
        <v>1383</v>
      </c>
      <c r="F118" s="47" t="s">
        <v>1384</v>
      </c>
      <c r="G118" s="47" t="s">
        <v>1385</v>
      </c>
      <c r="H118" s="47" t="s">
        <v>1386</v>
      </c>
      <c r="I118" s="47">
        <v>1</v>
      </c>
      <c r="J118" s="47">
        <v>1</v>
      </c>
      <c r="K118" s="47" t="s">
        <v>1387</v>
      </c>
      <c r="L118" s="47" t="s">
        <v>569</v>
      </c>
      <c r="M118" s="47">
        <v>2012</v>
      </c>
      <c r="N118" s="33" t="str">
        <f>HYPERLINK("http://services.igi-global.com/resolvedoi/resolve.aspx?doi=10.4018/978-1-46661-577-9")</f>
        <v>http://services.igi-global.com/resolvedoi/resolve.aspx?doi=10.4018/978-1-46661-577-9</v>
      </c>
    </row>
    <row r="119" spans="1:14">
      <c r="A119" s="47">
        <v>118</v>
      </c>
      <c r="B119" s="47" t="s">
        <v>571</v>
      </c>
      <c r="C119" s="47" t="s">
        <v>560</v>
      </c>
      <c r="D119" s="48" t="s">
        <v>516</v>
      </c>
      <c r="E119" s="48" t="s">
        <v>1319</v>
      </c>
      <c r="F119" s="47" t="s">
        <v>1320</v>
      </c>
      <c r="G119" s="47" t="s">
        <v>1321</v>
      </c>
      <c r="H119" s="47" t="s">
        <v>1322</v>
      </c>
      <c r="I119" s="47">
        <v>1</v>
      </c>
      <c r="J119" s="47">
        <v>1</v>
      </c>
      <c r="K119" s="47" t="s">
        <v>1323</v>
      </c>
      <c r="L119" s="47" t="s">
        <v>569</v>
      </c>
      <c r="M119" s="49">
        <v>2012</v>
      </c>
      <c r="N119" s="33" t="str">
        <f>HYPERLINK("http://services.igi-global.com/resolvedoi/resolve.aspx?doi=10.4018/978-1-46661-806-0")</f>
        <v>http://services.igi-global.com/resolvedoi/resolve.aspx?doi=10.4018/978-1-46661-806-0</v>
      </c>
    </row>
    <row r="120" spans="1:14">
      <c r="A120" s="47">
        <v>119</v>
      </c>
      <c r="B120" s="47" t="s">
        <v>571</v>
      </c>
      <c r="C120" s="47" t="s">
        <v>560</v>
      </c>
      <c r="D120" s="48" t="s">
        <v>138</v>
      </c>
      <c r="E120" s="48" t="s">
        <v>139</v>
      </c>
      <c r="F120" s="47" t="s">
        <v>140</v>
      </c>
      <c r="G120" s="47" t="s">
        <v>141</v>
      </c>
      <c r="H120" s="47" t="s">
        <v>142</v>
      </c>
      <c r="I120" s="47">
        <v>1</v>
      </c>
      <c r="J120" s="47">
        <v>1</v>
      </c>
      <c r="K120" s="47" t="s">
        <v>143</v>
      </c>
      <c r="L120" s="47" t="s">
        <v>569</v>
      </c>
      <c r="M120" s="47">
        <v>2012</v>
      </c>
      <c r="N120" s="33" t="str">
        <f>HYPERLINK("http://services.igi-global.com/resolvedoi/resolve.aspx?doi=10.4018/978-1-46660-297-7")</f>
        <v>http://services.igi-global.com/resolvedoi/resolve.aspx?doi=10.4018/978-1-46660-297-7</v>
      </c>
    </row>
    <row r="121" spans="1:14">
      <c r="A121" s="47">
        <v>120</v>
      </c>
      <c r="B121" s="47" t="s">
        <v>571</v>
      </c>
      <c r="C121" s="47" t="s">
        <v>560</v>
      </c>
      <c r="D121" s="48" t="s">
        <v>1346</v>
      </c>
      <c r="E121" s="48" t="s">
        <v>1347</v>
      </c>
      <c r="F121" s="47" t="s">
        <v>1348</v>
      </c>
      <c r="G121" s="47" t="s">
        <v>1349</v>
      </c>
      <c r="H121" s="47" t="s">
        <v>1350</v>
      </c>
      <c r="I121" s="47">
        <v>1</v>
      </c>
      <c r="J121" s="47">
        <v>1</v>
      </c>
      <c r="K121" s="47" t="s">
        <v>1351</v>
      </c>
      <c r="L121" s="47" t="s">
        <v>569</v>
      </c>
      <c r="M121" s="47">
        <v>2012</v>
      </c>
      <c r="N121" s="33" t="str">
        <f>HYPERLINK("http://services.igi-global.com/resolvedoi/resolve.aspx?doi=10.4018/978-1-46661-833-6")</f>
        <v>http://services.igi-global.com/resolvedoi/resolve.aspx?doi=10.4018/978-1-46661-833-6</v>
      </c>
    </row>
    <row r="122" spans="1:14">
      <c r="A122" s="47">
        <v>121</v>
      </c>
      <c r="B122" s="47" t="s">
        <v>571</v>
      </c>
      <c r="C122" s="47" t="s">
        <v>560</v>
      </c>
      <c r="D122" s="48" t="s">
        <v>1346</v>
      </c>
      <c r="E122" s="48" t="s">
        <v>99</v>
      </c>
      <c r="F122" s="47" t="s">
        <v>100</v>
      </c>
      <c r="G122" s="47" t="s">
        <v>101</v>
      </c>
      <c r="H122" s="47" t="s">
        <v>102</v>
      </c>
      <c r="I122" s="47">
        <v>1</v>
      </c>
      <c r="J122" s="47">
        <v>1</v>
      </c>
      <c r="K122" s="47" t="s">
        <v>103</v>
      </c>
      <c r="L122" s="47" t="s">
        <v>569</v>
      </c>
      <c r="M122" s="47">
        <v>2012</v>
      </c>
      <c r="N122" s="33" t="str">
        <f>HYPERLINK("http://services.igi-global.com/resolvedoi/resolve.aspx?doi=10.4018/978-1-46660-270-0")</f>
        <v>http://services.igi-global.com/resolvedoi/resolve.aspx?doi=10.4018/978-1-46660-270-0</v>
      </c>
    </row>
    <row r="123" spans="1:14">
      <c r="A123" s="47">
        <v>122</v>
      </c>
      <c r="B123" s="47" t="s">
        <v>571</v>
      </c>
      <c r="C123" s="47" t="s">
        <v>560</v>
      </c>
      <c r="D123" s="48" t="s">
        <v>500</v>
      </c>
      <c r="E123" s="48" t="s">
        <v>1341</v>
      </c>
      <c r="F123" s="47" t="s">
        <v>1342</v>
      </c>
      <c r="G123" s="47" t="s">
        <v>1343</v>
      </c>
      <c r="H123" s="47" t="s">
        <v>1344</v>
      </c>
      <c r="I123" s="47">
        <v>1</v>
      </c>
      <c r="J123" s="47">
        <v>1</v>
      </c>
      <c r="K123" s="47" t="s">
        <v>1345</v>
      </c>
      <c r="L123" s="47" t="s">
        <v>569</v>
      </c>
      <c r="M123" s="47">
        <v>2012</v>
      </c>
      <c r="N123" s="33" t="str">
        <f>HYPERLINK("http://services.igi-global.com/resolvedoi/resolve.aspx?doi=10.4018/978-1-46661-830-5")</f>
        <v>http://services.igi-global.com/resolvedoi/resolve.aspx?doi=10.4018/978-1-46661-830-5</v>
      </c>
    </row>
    <row r="124" spans="1:14">
      <c r="A124" s="47">
        <v>123</v>
      </c>
      <c r="B124" s="47" t="s">
        <v>571</v>
      </c>
      <c r="C124" s="47" t="s">
        <v>560</v>
      </c>
      <c r="D124" s="48" t="s">
        <v>824</v>
      </c>
      <c r="E124" s="48" t="s">
        <v>825</v>
      </c>
      <c r="F124" s="47" t="s">
        <v>826</v>
      </c>
      <c r="G124" s="47" t="s">
        <v>827</v>
      </c>
      <c r="H124" s="47" t="s">
        <v>828</v>
      </c>
      <c r="I124" s="47">
        <v>1</v>
      </c>
      <c r="J124" s="47">
        <v>1</v>
      </c>
      <c r="K124" s="47" t="s">
        <v>829</v>
      </c>
      <c r="L124" s="47" t="s">
        <v>569</v>
      </c>
      <c r="M124" s="47">
        <v>2012</v>
      </c>
      <c r="N124" s="33" t="str">
        <f>HYPERLINK("http://services.igi-global.com/resolvedoi/resolve.aspx?doi=10.4018/978-1-60960-786-9")</f>
        <v>http://services.igi-global.com/resolvedoi/resolve.aspx?doi=10.4018/978-1-60960-786-9</v>
      </c>
    </row>
    <row r="125" spans="1:14">
      <c r="A125" s="47">
        <v>124</v>
      </c>
      <c r="B125" s="47" t="s">
        <v>571</v>
      </c>
      <c r="C125" s="47" t="s">
        <v>560</v>
      </c>
      <c r="D125" s="48" t="s">
        <v>501</v>
      </c>
      <c r="E125" s="48" t="s">
        <v>1246</v>
      </c>
      <c r="F125" s="47" t="s">
        <v>1247</v>
      </c>
      <c r="G125" s="47" t="s">
        <v>1248</v>
      </c>
      <c r="H125" s="47" t="s">
        <v>1249</v>
      </c>
      <c r="I125" s="47">
        <v>1</v>
      </c>
      <c r="J125" s="47">
        <v>1</v>
      </c>
      <c r="K125" s="47" t="s">
        <v>1250</v>
      </c>
      <c r="L125" s="47" t="s">
        <v>569</v>
      </c>
      <c r="M125" s="47">
        <v>2012</v>
      </c>
      <c r="N125" s="33" t="str">
        <f>HYPERLINK("http://services.igi-global.com/resolvedoi/resolve.aspx?doi=10.4018/978-1-46661-749-0")</f>
        <v>http://services.igi-global.com/resolvedoi/resolve.aspx?doi=10.4018/978-1-46661-749-0</v>
      </c>
    </row>
    <row r="126" spans="1:14">
      <c r="A126" s="47">
        <v>125</v>
      </c>
      <c r="B126" s="47" t="s">
        <v>571</v>
      </c>
      <c r="C126" s="47" t="s">
        <v>560</v>
      </c>
      <c r="D126" s="48" t="s">
        <v>127</v>
      </c>
      <c r="E126" s="48" t="s">
        <v>283</v>
      </c>
      <c r="F126" s="47" t="s">
        <v>284</v>
      </c>
      <c r="G126" s="47" t="s">
        <v>285</v>
      </c>
      <c r="H126" s="47" t="s">
        <v>286</v>
      </c>
      <c r="I126" s="47">
        <v>1</v>
      </c>
      <c r="J126" s="47">
        <v>1</v>
      </c>
      <c r="K126" s="47" t="s">
        <v>287</v>
      </c>
      <c r="L126" s="47" t="s">
        <v>569</v>
      </c>
      <c r="M126" s="47">
        <v>2012</v>
      </c>
      <c r="N126" s="33" t="str">
        <f>HYPERLINK("http://services.igi-global.com/resolvedoi/resolve.aspx?doi=10.4018/978-1-46660-176-5")</f>
        <v>http://services.igi-global.com/resolvedoi/resolve.aspx?doi=10.4018/978-1-46660-176-5</v>
      </c>
    </row>
    <row r="127" spans="1:14">
      <c r="A127" s="47">
        <v>126</v>
      </c>
      <c r="B127" s="47" t="s">
        <v>571</v>
      </c>
      <c r="C127" s="47" t="s">
        <v>560</v>
      </c>
      <c r="D127" s="48" t="s">
        <v>31</v>
      </c>
      <c r="E127" s="48" t="s">
        <v>32</v>
      </c>
      <c r="F127" s="47" t="s">
        <v>33</v>
      </c>
      <c r="G127" s="47" t="s">
        <v>34</v>
      </c>
      <c r="H127" s="47" t="s">
        <v>35</v>
      </c>
      <c r="I127" s="47">
        <v>1</v>
      </c>
      <c r="J127" s="47">
        <v>1</v>
      </c>
      <c r="K127" s="47" t="s">
        <v>36</v>
      </c>
      <c r="L127" s="47" t="s">
        <v>569</v>
      </c>
      <c r="M127" s="47">
        <v>2012</v>
      </c>
      <c r="N127" s="33" t="str">
        <f>HYPERLINK("http://services.igi-global.com/resolvedoi/resolve.aspx?doi=10.4018/978-1-46660-972-3")</f>
        <v>http://services.igi-global.com/resolvedoi/resolve.aspx?doi=10.4018/978-1-46660-972-3</v>
      </c>
    </row>
    <row r="128" spans="1:14">
      <c r="A128" s="47">
        <v>127</v>
      </c>
      <c r="B128" s="47" t="s">
        <v>571</v>
      </c>
      <c r="C128" s="47" t="s">
        <v>560</v>
      </c>
      <c r="D128" s="48" t="s">
        <v>1346</v>
      </c>
      <c r="E128" s="48" t="s">
        <v>85</v>
      </c>
      <c r="F128" s="47" t="s">
        <v>86</v>
      </c>
      <c r="G128" s="47" t="s">
        <v>87</v>
      </c>
      <c r="H128" s="47" t="s">
        <v>88</v>
      </c>
      <c r="I128" s="47">
        <v>1</v>
      </c>
      <c r="J128" s="47">
        <v>1</v>
      </c>
      <c r="K128" s="47" t="s">
        <v>1238</v>
      </c>
      <c r="L128" s="47" t="s">
        <v>569</v>
      </c>
      <c r="M128" s="47">
        <v>2012</v>
      </c>
      <c r="N128" s="33" t="str">
        <f>HYPERLINK("http://services.igi-global.com/resolvedoi/resolve.aspx?doi=10.4018/978-1-46660-261-8")</f>
        <v>http://services.igi-global.com/resolvedoi/resolve.aspx?doi=10.4018/978-1-46660-261-8</v>
      </c>
    </row>
    <row r="129" spans="1:14">
      <c r="A129" s="47">
        <v>128</v>
      </c>
      <c r="B129" s="47" t="s">
        <v>571</v>
      </c>
      <c r="C129" s="47" t="s">
        <v>560</v>
      </c>
      <c r="D129" s="48" t="s">
        <v>521</v>
      </c>
      <c r="E129" s="48" t="s">
        <v>10</v>
      </c>
      <c r="F129" s="47" t="s">
        <v>11</v>
      </c>
      <c r="G129" s="47" t="s">
        <v>12</v>
      </c>
      <c r="H129" s="47" t="s">
        <v>13</v>
      </c>
      <c r="I129" s="47">
        <v>1</v>
      </c>
      <c r="J129" s="47">
        <v>1</v>
      </c>
      <c r="K129" s="47" t="s">
        <v>14</v>
      </c>
      <c r="L129" s="47" t="s">
        <v>569</v>
      </c>
      <c r="M129" s="47">
        <v>2012</v>
      </c>
      <c r="N129" s="33" t="str">
        <f>HYPERLINK("http://services.igi-global.com/resolvedoi/resolve.aspx?doi=10.4018/978-1-46660-954-9")</f>
        <v>http://services.igi-global.com/resolvedoi/resolve.aspx?doi=10.4018/978-1-46660-954-9</v>
      </c>
    </row>
    <row r="130" spans="1:14">
      <c r="A130" s="47">
        <v>129</v>
      </c>
      <c r="B130" s="47" t="s">
        <v>571</v>
      </c>
      <c r="C130" s="47" t="s">
        <v>560</v>
      </c>
      <c r="D130" s="48" t="s">
        <v>491</v>
      </c>
      <c r="E130" s="48" t="s">
        <v>1293</v>
      </c>
      <c r="F130" s="47" t="s">
        <v>1294</v>
      </c>
      <c r="G130" s="47" t="s">
        <v>1295</v>
      </c>
      <c r="H130" s="47" t="s">
        <v>1296</v>
      </c>
      <c r="I130" s="47">
        <v>1</v>
      </c>
      <c r="J130" s="47">
        <v>1</v>
      </c>
      <c r="K130" s="47" t="s">
        <v>1297</v>
      </c>
      <c r="L130" s="47" t="s">
        <v>569</v>
      </c>
      <c r="M130" s="47">
        <v>2012</v>
      </c>
      <c r="N130" s="33" t="str">
        <f>HYPERLINK("http://services.igi-global.com/resolvedoi/resolve.aspx?doi=10.4018/978-1-46661-782-7")</f>
        <v>http://services.igi-global.com/resolvedoi/resolve.aspx?doi=10.4018/978-1-46661-782-7</v>
      </c>
    </row>
    <row r="131" spans="1:14">
      <c r="A131" s="47">
        <v>130</v>
      </c>
      <c r="B131" s="47" t="s">
        <v>571</v>
      </c>
      <c r="C131" s="47" t="s">
        <v>560</v>
      </c>
      <c r="D131" s="48" t="s">
        <v>74</v>
      </c>
      <c r="E131" s="48" t="s">
        <v>75</v>
      </c>
      <c r="F131" s="47" t="s">
        <v>76</v>
      </c>
      <c r="G131" s="47" t="s">
        <v>77</v>
      </c>
      <c r="H131" s="47" t="s">
        <v>78</v>
      </c>
      <c r="I131" s="47">
        <v>1</v>
      </c>
      <c r="J131" s="47">
        <v>1</v>
      </c>
      <c r="K131" s="47" t="s">
        <v>79</v>
      </c>
      <c r="L131" s="47" t="s">
        <v>569</v>
      </c>
      <c r="M131" s="47">
        <v>2012</v>
      </c>
      <c r="N131" s="33" t="str">
        <f>HYPERLINK("http://services.igi-global.com/resolvedoi/resolve.aspx?doi=10.4018/978-1-46660-255-7")</f>
        <v>http://services.igi-global.com/resolvedoi/resolve.aspx?doi=10.4018/978-1-46660-255-7</v>
      </c>
    </row>
    <row r="132" spans="1:14">
      <c r="A132" s="47">
        <v>131</v>
      </c>
      <c r="B132" s="47" t="s">
        <v>571</v>
      </c>
      <c r="C132" s="47" t="s">
        <v>560</v>
      </c>
      <c r="D132" s="48" t="s">
        <v>500</v>
      </c>
      <c r="E132" s="48" t="s">
        <v>1373</v>
      </c>
      <c r="F132" s="47" t="s">
        <v>1374</v>
      </c>
      <c r="G132" s="47" t="s">
        <v>1375</v>
      </c>
      <c r="H132" s="47" t="s">
        <v>1376</v>
      </c>
      <c r="I132" s="47">
        <v>1</v>
      </c>
      <c r="J132" s="47">
        <v>1</v>
      </c>
      <c r="K132" s="47" t="s">
        <v>1377</v>
      </c>
      <c r="L132" s="47" t="s">
        <v>569</v>
      </c>
      <c r="M132" s="47">
        <v>2012</v>
      </c>
      <c r="N132" s="33" t="str">
        <f>HYPERLINK("http://services.igi-global.com/resolvedoi/resolve.aspx?doi=10.4018/978-1-46661-565-6")</f>
        <v>http://services.igi-global.com/resolvedoi/resolve.aspx?doi=10.4018/978-1-46661-565-6</v>
      </c>
    </row>
    <row r="133" spans="1:14">
      <c r="A133" s="47">
        <v>132</v>
      </c>
      <c r="B133" s="47" t="s">
        <v>571</v>
      </c>
      <c r="C133" s="47" t="s">
        <v>560</v>
      </c>
      <c r="D133" s="48" t="s">
        <v>500</v>
      </c>
      <c r="E133" s="48" t="s">
        <v>1171</v>
      </c>
      <c r="F133" s="47" t="s">
        <v>1172</v>
      </c>
      <c r="G133" s="47" t="s">
        <v>1173</v>
      </c>
      <c r="H133" s="47" t="s">
        <v>1174</v>
      </c>
      <c r="I133" s="47">
        <v>1</v>
      </c>
      <c r="J133" s="47">
        <v>1</v>
      </c>
      <c r="K133" s="47" t="s">
        <v>1175</v>
      </c>
      <c r="L133" s="47" t="s">
        <v>569</v>
      </c>
      <c r="M133" s="47">
        <v>2010</v>
      </c>
      <c r="N133" s="33" t="str">
        <f>HYPERLINK("http://services.igi-global.com/resolvedoi/resolve.aspx?doi=10.4018/978-1-60566-758-4")</f>
        <v>http://services.igi-global.com/resolvedoi/resolve.aspx?doi=10.4018/978-1-60566-758-4</v>
      </c>
    </row>
    <row r="134" spans="1:14">
      <c r="A134" s="47">
        <v>133</v>
      </c>
      <c r="B134" s="47" t="s">
        <v>571</v>
      </c>
      <c r="C134" s="47" t="s">
        <v>560</v>
      </c>
      <c r="D134" s="48" t="s">
        <v>1191</v>
      </c>
      <c r="E134" s="48" t="s">
        <v>1192</v>
      </c>
      <c r="F134" s="47" t="s">
        <v>1193</v>
      </c>
      <c r="G134" s="47" t="s">
        <v>1194</v>
      </c>
      <c r="H134" s="47" t="s">
        <v>1195</v>
      </c>
      <c r="I134" s="47">
        <v>1</v>
      </c>
      <c r="J134" s="47">
        <v>1</v>
      </c>
      <c r="K134" s="47" t="s">
        <v>1196</v>
      </c>
      <c r="L134" s="47" t="s">
        <v>569</v>
      </c>
      <c r="M134" s="47">
        <v>2009</v>
      </c>
      <c r="N134" s="33" t="str">
        <f>HYPERLINK("http://services.igi-global.com/resolvedoi/resolve.aspx?doi=10.4018/978-1-60566-174-2")</f>
        <v>http://services.igi-global.com/resolvedoi/resolve.aspx?doi=10.4018/978-1-60566-174-2</v>
      </c>
    </row>
    <row r="135" spans="1:14">
      <c r="A135" s="47">
        <v>134</v>
      </c>
      <c r="B135" s="47" t="s">
        <v>571</v>
      </c>
      <c r="C135" s="47" t="s">
        <v>1239</v>
      </c>
      <c r="D135" s="48" t="s">
        <v>503</v>
      </c>
      <c r="E135" s="48" t="s">
        <v>365</v>
      </c>
      <c r="F135" s="47" t="s">
        <v>366</v>
      </c>
      <c r="G135" s="47" t="s">
        <v>367</v>
      </c>
      <c r="H135" s="47" t="s">
        <v>368</v>
      </c>
      <c r="I135" s="47">
        <v>1</v>
      </c>
      <c r="J135" s="47">
        <v>1</v>
      </c>
      <c r="K135" s="47" t="s">
        <v>562</v>
      </c>
      <c r="L135" s="47" t="s">
        <v>569</v>
      </c>
      <c r="M135" s="47">
        <v>2012</v>
      </c>
      <c r="N135" s="33" t="str">
        <f>HYPERLINK("http://services.igi-global.com/resolvedoi/resolve.aspx?doi=10.4018/978-1-46660-035-5")</f>
        <v>http://services.igi-global.com/resolvedoi/resolve.aspx?doi=10.4018/978-1-46660-035-5</v>
      </c>
    </row>
    <row r="136" spans="1:14">
      <c r="A136" s="47">
        <v>135</v>
      </c>
      <c r="B136" s="47" t="s">
        <v>571</v>
      </c>
      <c r="C136" s="47" t="s">
        <v>1239</v>
      </c>
      <c r="D136" s="48" t="s">
        <v>507</v>
      </c>
      <c r="E136" s="48" t="s">
        <v>1561</v>
      </c>
      <c r="F136" s="47" t="s">
        <v>1562</v>
      </c>
      <c r="G136" s="47" t="s">
        <v>1563</v>
      </c>
      <c r="H136" s="47" t="s">
        <v>1564</v>
      </c>
      <c r="I136" s="47">
        <v>1</v>
      </c>
      <c r="J136" s="47">
        <v>1</v>
      </c>
      <c r="K136" s="47" t="s">
        <v>1565</v>
      </c>
      <c r="L136" s="47" t="s">
        <v>569</v>
      </c>
      <c r="M136" s="47">
        <v>2012</v>
      </c>
      <c r="N136" s="33" t="str">
        <f>HYPERLINK("http://services.igi-global.com/resolvedoi/resolve.aspx?doi=10.4018/978-1-46660-903-7")</f>
        <v>http://services.igi-global.com/resolvedoi/resolve.aspx?doi=10.4018/978-1-46660-903-7</v>
      </c>
    </row>
    <row r="137" spans="1:14">
      <c r="A137" s="47">
        <v>136</v>
      </c>
      <c r="B137" s="47" t="s">
        <v>571</v>
      </c>
      <c r="C137" s="47" t="s">
        <v>1239</v>
      </c>
      <c r="D137" s="48" t="s">
        <v>503</v>
      </c>
      <c r="E137" s="48" t="s">
        <v>966</v>
      </c>
      <c r="F137" s="47" t="s">
        <v>967</v>
      </c>
      <c r="G137" s="47" t="s">
        <v>968</v>
      </c>
      <c r="H137" s="47" t="s">
        <v>969</v>
      </c>
      <c r="I137" s="47">
        <v>1</v>
      </c>
      <c r="J137" s="47">
        <v>1</v>
      </c>
      <c r="K137" s="47" t="s">
        <v>970</v>
      </c>
      <c r="L137" s="47" t="s">
        <v>569</v>
      </c>
      <c r="M137" s="47">
        <v>2012</v>
      </c>
      <c r="N137" s="33" t="str">
        <f>HYPERLINK("http://services.igi-global.com/resolvedoi/resolve.aspx?doi=10.4018/978-1-61350-089-7")</f>
        <v>http://services.igi-global.com/resolvedoi/resolve.aspx?doi=10.4018/978-1-61350-089-7</v>
      </c>
    </row>
    <row r="138" spans="1:14">
      <c r="A138" s="47">
        <v>137</v>
      </c>
      <c r="B138" s="47" t="s">
        <v>571</v>
      </c>
      <c r="C138" s="47" t="s">
        <v>1239</v>
      </c>
      <c r="D138" s="48" t="s">
        <v>491</v>
      </c>
      <c r="E138" s="48" t="s">
        <v>223</v>
      </c>
      <c r="F138" s="47" t="s">
        <v>224</v>
      </c>
      <c r="G138" s="47" t="s">
        <v>225</v>
      </c>
      <c r="H138" s="47" t="s">
        <v>226</v>
      </c>
      <c r="I138" s="47">
        <v>1</v>
      </c>
      <c r="J138" s="47">
        <v>1</v>
      </c>
      <c r="K138" s="47" t="s">
        <v>227</v>
      </c>
      <c r="L138" s="47" t="s">
        <v>569</v>
      </c>
      <c r="M138" s="47">
        <v>2012</v>
      </c>
      <c r="N138" s="33" t="str">
        <f>HYPERLINK("http://services.igi-global.com/resolvedoi/resolve.aspx?doi=10.4018/978-1-46660-131-4")</f>
        <v>http://services.igi-global.com/resolvedoi/resolve.aspx?doi=10.4018/978-1-46660-131-4</v>
      </c>
    </row>
    <row r="139" spans="1:14">
      <c r="A139" s="47">
        <v>138</v>
      </c>
      <c r="B139" s="47" t="s">
        <v>571</v>
      </c>
      <c r="C139" s="47" t="s">
        <v>1239</v>
      </c>
      <c r="D139" s="48" t="s">
        <v>1330</v>
      </c>
      <c r="E139" s="48" t="s">
        <v>882</v>
      </c>
      <c r="F139" s="47" t="s">
        <v>883</v>
      </c>
      <c r="G139" s="47" t="s">
        <v>884</v>
      </c>
      <c r="H139" s="47" t="s">
        <v>885</v>
      </c>
      <c r="I139" s="47">
        <v>1</v>
      </c>
      <c r="J139" s="47">
        <v>1</v>
      </c>
      <c r="K139" s="47" t="s">
        <v>886</v>
      </c>
      <c r="L139" s="47" t="s">
        <v>569</v>
      </c>
      <c r="M139" s="47">
        <v>2012</v>
      </c>
      <c r="N139" s="33" t="str">
        <f>HYPERLINK("http://services.igi-global.com/resolvedoi/resolve.aspx?doi=10.4018/978-1-61350-308-9")</f>
        <v>http://services.igi-global.com/resolvedoi/resolve.aspx?doi=10.4018/978-1-61350-308-9</v>
      </c>
    </row>
    <row r="140" spans="1:14">
      <c r="A140" s="47">
        <v>139</v>
      </c>
      <c r="B140" s="47" t="s">
        <v>571</v>
      </c>
      <c r="C140" s="47" t="s">
        <v>1239</v>
      </c>
      <c r="D140" s="48" t="s">
        <v>496</v>
      </c>
      <c r="E140" s="48" t="s">
        <v>738</v>
      </c>
      <c r="F140" s="47" t="s">
        <v>739</v>
      </c>
      <c r="G140" s="47" t="s">
        <v>740</v>
      </c>
      <c r="H140" s="47" t="s">
        <v>741</v>
      </c>
      <c r="I140" s="47">
        <v>1</v>
      </c>
      <c r="J140" s="47">
        <v>1</v>
      </c>
      <c r="K140" s="47" t="s">
        <v>742</v>
      </c>
      <c r="L140" s="47" t="s">
        <v>569</v>
      </c>
      <c r="M140" s="47">
        <v>2012</v>
      </c>
      <c r="N140" s="33" t="str">
        <f>HYPERLINK("http://services.igi-global.com/resolvedoi/resolve.aspx?doi=10.4018/978-1-61350-198-6")</f>
        <v>http://services.igi-global.com/resolvedoi/resolve.aspx?doi=10.4018/978-1-61350-198-6</v>
      </c>
    </row>
    <row r="141" spans="1:14">
      <c r="A141" s="47">
        <v>140</v>
      </c>
      <c r="B141" s="47" t="s">
        <v>571</v>
      </c>
      <c r="C141" s="47" t="s">
        <v>1239</v>
      </c>
      <c r="D141" s="48" t="s">
        <v>1240</v>
      </c>
      <c r="E141" s="48" t="s">
        <v>1241</v>
      </c>
      <c r="F141" s="47" t="s">
        <v>1242</v>
      </c>
      <c r="G141" s="47" t="s">
        <v>1243</v>
      </c>
      <c r="H141" s="47" t="s">
        <v>1244</v>
      </c>
      <c r="I141" s="47">
        <v>1</v>
      </c>
      <c r="J141" s="47">
        <v>1</v>
      </c>
      <c r="K141" s="47" t="s">
        <v>1245</v>
      </c>
      <c r="L141" s="47" t="s">
        <v>569</v>
      </c>
      <c r="M141" s="47">
        <v>2012</v>
      </c>
      <c r="N141" s="33" t="str">
        <f>HYPERLINK("http://services.igi-global.com/resolvedoi/resolve.aspx?doi=10.4018/978-1-46661-746-9")</f>
        <v>http://services.igi-global.com/resolvedoi/resolve.aspx?doi=10.4018/978-1-46661-746-9</v>
      </c>
    </row>
    <row r="142" spans="1:14">
      <c r="A142" s="47">
        <v>141</v>
      </c>
      <c r="B142" s="47" t="s">
        <v>571</v>
      </c>
      <c r="C142" s="47" t="s">
        <v>1239</v>
      </c>
      <c r="D142" s="48" t="s">
        <v>503</v>
      </c>
      <c r="E142" s="48" t="s">
        <v>891</v>
      </c>
      <c r="F142" s="47" t="s">
        <v>892</v>
      </c>
      <c r="G142" s="47" t="s">
        <v>893</v>
      </c>
      <c r="H142" s="47" t="s">
        <v>894</v>
      </c>
      <c r="I142" s="47">
        <v>1</v>
      </c>
      <c r="J142" s="47">
        <v>1</v>
      </c>
      <c r="K142" s="47" t="s">
        <v>895</v>
      </c>
      <c r="L142" s="47" t="s">
        <v>569</v>
      </c>
      <c r="M142" s="47">
        <v>2012</v>
      </c>
      <c r="N142" s="33" t="str">
        <f>HYPERLINK("http://services.igi-global.com/resolvedoi/resolve.aspx?doi=10.4018/978-1-61350-195-5")</f>
        <v>http://services.igi-global.com/resolvedoi/resolve.aspx?doi=10.4018/978-1-61350-195-5</v>
      </c>
    </row>
    <row r="143" spans="1:14">
      <c r="A143" s="47">
        <v>142</v>
      </c>
      <c r="B143" s="47" t="s">
        <v>571</v>
      </c>
      <c r="C143" s="47" t="s">
        <v>1239</v>
      </c>
      <c r="D143" s="48" t="s">
        <v>503</v>
      </c>
      <c r="E143" s="48" t="s">
        <v>5</v>
      </c>
      <c r="F143" s="47" t="s">
        <v>6</v>
      </c>
      <c r="G143" s="47" t="s">
        <v>7</v>
      </c>
      <c r="H143" s="47" t="s">
        <v>8</v>
      </c>
      <c r="I143" s="47">
        <v>1</v>
      </c>
      <c r="J143" s="47">
        <v>1</v>
      </c>
      <c r="K143" s="47" t="s">
        <v>9</v>
      </c>
      <c r="L143" s="47" t="s">
        <v>569</v>
      </c>
      <c r="M143" s="47">
        <v>2012</v>
      </c>
      <c r="N143" s="33" t="str">
        <f>HYPERLINK("http://services.igi-global.com/resolvedoi/resolve.aspx?doi=10.4018/978-1-46660-948-8")</f>
        <v>http://services.igi-global.com/resolvedoi/resolve.aspx?doi=10.4018/978-1-46660-948-8</v>
      </c>
    </row>
    <row r="144" spans="1:14">
      <c r="A144" s="47">
        <v>143</v>
      </c>
      <c r="B144" s="47" t="s">
        <v>571</v>
      </c>
      <c r="C144" s="47" t="s">
        <v>1239</v>
      </c>
      <c r="D144" s="48" t="s">
        <v>509</v>
      </c>
      <c r="E144" s="48" t="s">
        <v>1487</v>
      </c>
      <c r="F144" s="47" t="s">
        <v>1488</v>
      </c>
      <c r="G144" s="47" t="s">
        <v>1489</v>
      </c>
      <c r="H144" s="47" t="s">
        <v>1490</v>
      </c>
      <c r="I144" s="47">
        <v>1</v>
      </c>
      <c r="J144" s="47">
        <v>1</v>
      </c>
      <c r="K144" s="47" t="s">
        <v>1491</v>
      </c>
      <c r="L144" s="47" t="s">
        <v>569</v>
      </c>
      <c r="M144" s="47">
        <v>2012</v>
      </c>
      <c r="N144" s="33" t="str">
        <f>HYPERLINK("http://services.igi-global.com/resolvedoi/resolve.aspx?doi=10.4018/978-1-46661-637-0")</f>
        <v>http://services.igi-global.com/resolvedoi/resolve.aspx?doi=10.4018/978-1-46661-637-0</v>
      </c>
    </row>
    <row r="145" spans="1:14">
      <c r="A145" s="47">
        <v>144</v>
      </c>
      <c r="B145" s="47" t="s">
        <v>571</v>
      </c>
      <c r="C145" s="47" t="s">
        <v>1239</v>
      </c>
      <c r="D145" s="48" t="s">
        <v>766</v>
      </c>
      <c r="E145" s="48" t="s">
        <v>767</v>
      </c>
      <c r="F145" s="47" t="s">
        <v>768</v>
      </c>
      <c r="G145" s="47" t="s">
        <v>769</v>
      </c>
      <c r="H145" s="47" t="s">
        <v>770</v>
      </c>
      <c r="I145" s="47">
        <v>1</v>
      </c>
      <c r="J145" s="47">
        <v>1</v>
      </c>
      <c r="K145" s="47" t="s">
        <v>771</v>
      </c>
      <c r="L145" s="47" t="s">
        <v>569</v>
      </c>
      <c r="M145" s="47">
        <v>2012</v>
      </c>
      <c r="N145" s="33" t="str">
        <f>HYPERLINK("http://services.igi-global.com/resolvedoi/resolve.aspx?doi=10.4018/978-1-61350-335-5")</f>
        <v>http://services.igi-global.com/resolvedoi/resolve.aspx?doi=10.4018/978-1-61350-335-5</v>
      </c>
    </row>
    <row r="146" spans="1:14">
      <c r="A146" s="47">
        <v>145</v>
      </c>
      <c r="B146" s="47" t="s">
        <v>571</v>
      </c>
      <c r="C146" s="47" t="s">
        <v>1239</v>
      </c>
      <c r="D146" s="48" t="s">
        <v>267</v>
      </c>
      <c r="E146" s="48" t="s">
        <v>268</v>
      </c>
      <c r="F146" s="47" t="s">
        <v>269</v>
      </c>
      <c r="G146" s="47" t="s">
        <v>270</v>
      </c>
      <c r="H146" s="47" t="s">
        <v>271</v>
      </c>
      <c r="I146" s="47">
        <v>1</v>
      </c>
      <c r="J146" s="47">
        <v>1</v>
      </c>
      <c r="K146" s="47" t="s">
        <v>562</v>
      </c>
      <c r="L146" s="47" t="s">
        <v>569</v>
      </c>
      <c r="M146" s="47">
        <v>2012</v>
      </c>
      <c r="N146" s="33" t="str">
        <f>HYPERLINK("http://services.igi-global.com/resolvedoi/resolve.aspx?doi=10.4018/978-1-46660-167-3")</f>
        <v>http://services.igi-global.com/resolvedoi/resolve.aspx?doi=10.4018/978-1-46660-167-3</v>
      </c>
    </row>
    <row r="147" spans="1:14">
      <c r="A147" s="47">
        <v>146</v>
      </c>
      <c r="B147" s="47" t="s">
        <v>571</v>
      </c>
      <c r="C147" s="47" t="s">
        <v>1239</v>
      </c>
      <c r="D147" s="48" t="s">
        <v>1352</v>
      </c>
      <c r="E147" s="48" t="s">
        <v>1353</v>
      </c>
      <c r="F147" s="47" t="s">
        <v>1354</v>
      </c>
      <c r="G147" s="47" t="s">
        <v>1355</v>
      </c>
      <c r="H147" s="47" t="s">
        <v>1356</v>
      </c>
      <c r="I147" s="47">
        <v>1</v>
      </c>
      <c r="J147" s="47">
        <v>1</v>
      </c>
      <c r="K147" s="47" t="s">
        <v>1357</v>
      </c>
      <c r="L147" s="47" t="s">
        <v>568</v>
      </c>
      <c r="M147" s="47">
        <v>2012</v>
      </c>
      <c r="N147" s="33" t="str">
        <f>HYPERLINK("http://services.igi-global.com/resolvedoi/resolve.aspx?doi=10.4018/978-1-46661-836-7")</f>
        <v>http://services.igi-global.com/resolvedoi/resolve.aspx?doi=10.4018/978-1-46661-836-7</v>
      </c>
    </row>
    <row r="148" spans="1:14">
      <c r="A148" s="47">
        <v>147</v>
      </c>
      <c r="B148" s="47" t="s">
        <v>571</v>
      </c>
      <c r="C148" s="47" t="s">
        <v>1239</v>
      </c>
      <c r="D148" s="48" t="s">
        <v>1556</v>
      </c>
      <c r="E148" s="48" t="s">
        <v>1557</v>
      </c>
      <c r="F148" s="47" t="s">
        <v>1558</v>
      </c>
      <c r="G148" s="47" t="s">
        <v>1559</v>
      </c>
      <c r="H148" s="47" t="s">
        <v>1560</v>
      </c>
      <c r="I148" s="47">
        <v>1</v>
      </c>
      <c r="J148" s="47">
        <v>1</v>
      </c>
      <c r="K148" s="47" t="s">
        <v>576</v>
      </c>
      <c r="L148" s="47" t="s">
        <v>569</v>
      </c>
      <c r="M148" s="47">
        <v>2012</v>
      </c>
      <c r="N148" s="33" t="str">
        <f>HYPERLINK("http://services.igi-global.com/resolvedoi/resolve.aspx?doi=10.4018/978-1-46660-900-6")</f>
        <v>http://services.igi-global.com/resolvedoi/resolve.aspx?doi=10.4018/978-1-46660-900-6</v>
      </c>
    </row>
    <row r="149" spans="1:14">
      <c r="A149" s="47">
        <v>148</v>
      </c>
      <c r="B149" s="47" t="s">
        <v>571</v>
      </c>
      <c r="C149" s="47" t="s">
        <v>1239</v>
      </c>
      <c r="D149" s="48" t="s">
        <v>420</v>
      </c>
      <c r="E149" s="48" t="s">
        <v>421</v>
      </c>
      <c r="F149" s="47" t="s">
        <v>422</v>
      </c>
      <c r="G149" s="47" t="s">
        <v>423</v>
      </c>
      <c r="H149" s="47" t="s">
        <v>424</v>
      </c>
      <c r="I149" s="47">
        <v>1</v>
      </c>
      <c r="J149" s="47">
        <v>1</v>
      </c>
      <c r="K149" s="47" t="s">
        <v>425</v>
      </c>
      <c r="L149" s="47" t="s">
        <v>569</v>
      </c>
      <c r="M149" s="47">
        <v>2012</v>
      </c>
      <c r="N149" s="33" t="str">
        <f>HYPERLINK("http://services.igi-global.com/resolvedoi/resolve.aspx?doi=10.4018/978-1-46660-074-4")</f>
        <v>http://services.igi-global.com/resolvedoi/resolve.aspx?doi=10.4018/978-1-46660-074-4</v>
      </c>
    </row>
    <row r="150" spans="1:14">
      <c r="A150" s="47">
        <v>149</v>
      </c>
      <c r="B150" s="47" t="s">
        <v>571</v>
      </c>
      <c r="C150" s="47" t="s">
        <v>1239</v>
      </c>
      <c r="D150" s="48" t="s">
        <v>566</v>
      </c>
      <c r="E150" s="48" t="s">
        <v>728</v>
      </c>
      <c r="F150" s="47" t="s">
        <v>729</v>
      </c>
      <c r="G150" s="47" t="s">
        <v>730</v>
      </c>
      <c r="H150" s="47" t="s">
        <v>731</v>
      </c>
      <c r="I150" s="47">
        <v>1</v>
      </c>
      <c r="J150" s="47">
        <v>1</v>
      </c>
      <c r="K150" s="47" t="s">
        <v>732</v>
      </c>
      <c r="L150" s="47" t="s">
        <v>569</v>
      </c>
      <c r="M150" s="47">
        <v>2012</v>
      </c>
      <c r="N150" s="33" t="str">
        <f>HYPERLINK("http://services.igi-global.com/resolvedoi/resolve.aspx?doi=10.4018/978-1-61350-341-6")</f>
        <v>http://services.igi-global.com/resolvedoi/resolve.aspx?doi=10.4018/978-1-61350-341-6</v>
      </c>
    </row>
    <row r="151" spans="1:14">
      <c r="A151" s="47">
        <v>150</v>
      </c>
      <c r="B151" s="47" t="s">
        <v>571</v>
      </c>
      <c r="C151" s="47" t="s">
        <v>1239</v>
      </c>
      <c r="D151" s="48" t="s">
        <v>524</v>
      </c>
      <c r="E151" s="48" t="s">
        <v>1008</v>
      </c>
      <c r="F151" s="47" t="s">
        <v>1009</v>
      </c>
      <c r="G151" s="47" t="s">
        <v>1010</v>
      </c>
      <c r="H151" s="47" t="s">
        <v>1011</v>
      </c>
      <c r="I151" s="47">
        <v>4</v>
      </c>
      <c r="J151" s="47">
        <v>1</v>
      </c>
      <c r="K151" s="47" t="s">
        <v>1424</v>
      </c>
      <c r="L151" s="47" t="s">
        <v>568</v>
      </c>
      <c r="M151" s="47">
        <v>2012</v>
      </c>
      <c r="N151" s="33" t="str">
        <f>HYPERLINK("http://services.igi-global.com/resolvedoi/resolve.aspx?doi=10.4018/978-1-60960-783-8")</f>
        <v>http://services.igi-global.com/resolvedoi/resolve.aspx?doi=10.4018/978-1-60960-783-8</v>
      </c>
    </row>
    <row r="152" spans="1:14">
      <c r="A152" s="47">
        <v>151</v>
      </c>
      <c r="B152" s="47" t="s">
        <v>571</v>
      </c>
      <c r="C152" s="47" t="s">
        <v>1239</v>
      </c>
      <c r="D152" s="48" t="s">
        <v>479</v>
      </c>
      <c r="E152" s="48" t="s">
        <v>480</v>
      </c>
      <c r="F152" s="47" t="s">
        <v>481</v>
      </c>
      <c r="G152" s="47" t="s">
        <v>482</v>
      </c>
      <c r="H152" s="47" t="s">
        <v>483</v>
      </c>
      <c r="I152" s="47">
        <v>1</v>
      </c>
      <c r="J152" s="47">
        <v>1</v>
      </c>
      <c r="K152" s="47" t="s">
        <v>484</v>
      </c>
      <c r="L152" s="47" t="s">
        <v>569</v>
      </c>
      <c r="M152" s="47">
        <v>2012</v>
      </c>
      <c r="N152" s="33" t="str">
        <f>HYPERLINK("http://services.igi-global.com/resolvedoi/resolve.aspx?doi=10.4018/978-1-61350-387-4")</f>
        <v>http://services.igi-global.com/resolvedoi/resolve.aspx?doi=10.4018/978-1-61350-387-4</v>
      </c>
    </row>
    <row r="153" spans="1:14">
      <c r="A153" s="47">
        <v>152</v>
      </c>
      <c r="B153" s="47" t="s">
        <v>571</v>
      </c>
      <c r="C153" s="47" t="s">
        <v>1239</v>
      </c>
      <c r="D153" s="48" t="s">
        <v>1457</v>
      </c>
      <c r="E153" s="48" t="s">
        <v>1458</v>
      </c>
      <c r="F153" s="47" t="s">
        <v>1459</v>
      </c>
      <c r="G153" s="47" t="s">
        <v>1460</v>
      </c>
      <c r="H153" s="47" t="s">
        <v>1461</v>
      </c>
      <c r="I153" s="47">
        <v>1</v>
      </c>
      <c r="J153" s="47">
        <v>1</v>
      </c>
      <c r="K153" s="47" t="s">
        <v>1462</v>
      </c>
      <c r="L153" s="47" t="s">
        <v>569</v>
      </c>
      <c r="M153" s="47">
        <v>2012</v>
      </c>
      <c r="N153" s="33" t="str">
        <f>HYPERLINK("http://services.igi-global.com/resolvedoi/resolve.aspx?doi=10.4018/978-1-46661-622-6")</f>
        <v>http://services.igi-global.com/resolvedoi/resolve.aspx?doi=10.4018/978-1-46661-622-6</v>
      </c>
    </row>
    <row r="154" spans="1:14">
      <c r="A154" s="47">
        <v>153</v>
      </c>
      <c r="B154" s="47" t="s">
        <v>571</v>
      </c>
      <c r="C154" s="47" t="s">
        <v>1239</v>
      </c>
      <c r="D154" s="48" t="s">
        <v>150</v>
      </c>
      <c r="E154" s="48" t="s">
        <v>151</v>
      </c>
      <c r="F154" s="47" t="s">
        <v>152</v>
      </c>
      <c r="G154" s="47" t="s">
        <v>153</v>
      </c>
      <c r="H154" s="47" t="s">
        <v>154</v>
      </c>
      <c r="I154" s="47">
        <v>1</v>
      </c>
      <c r="J154" s="47">
        <v>1</v>
      </c>
      <c r="K154" s="47" t="s">
        <v>155</v>
      </c>
      <c r="L154" s="47" t="s">
        <v>569</v>
      </c>
      <c r="M154" s="47">
        <v>2012</v>
      </c>
      <c r="N154" s="33" t="str">
        <f>HYPERLINK("http://services.igi-global.com/resolvedoi/resolve.aspx?doi=10.4018/978-1-46660-303-5")</f>
        <v>http://services.igi-global.com/resolvedoi/resolve.aspx?doi=10.4018/978-1-46660-303-5</v>
      </c>
    </row>
    <row r="155" spans="1:14">
      <c r="A155" s="47">
        <v>154</v>
      </c>
      <c r="B155" s="47" t="s">
        <v>571</v>
      </c>
      <c r="C155" s="47" t="s">
        <v>1239</v>
      </c>
      <c r="D155" s="48" t="s">
        <v>1330</v>
      </c>
      <c r="E155" s="48" t="s">
        <v>1331</v>
      </c>
      <c r="F155" s="47" t="s">
        <v>1332</v>
      </c>
      <c r="G155" s="47" t="s">
        <v>1333</v>
      </c>
      <c r="H155" s="47" t="s">
        <v>1334</v>
      </c>
      <c r="I155" s="47">
        <v>1</v>
      </c>
      <c r="J155" s="47">
        <v>1</v>
      </c>
      <c r="K155" s="47" t="s">
        <v>1335</v>
      </c>
      <c r="L155" s="47" t="s">
        <v>569</v>
      </c>
      <c r="M155" s="47">
        <v>2012</v>
      </c>
      <c r="N155" s="33" t="str">
        <f>HYPERLINK("http://services.igi-global.com/resolvedoi/resolve.aspx?doi=10.4018/978-1-46661-821-3")</f>
        <v>http://services.igi-global.com/resolvedoi/resolve.aspx?doi=10.4018/978-1-46661-821-3</v>
      </c>
    </row>
    <row r="156" spans="1:14">
      <c r="A156" s="47">
        <v>155</v>
      </c>
      <c r="B156" s="47" t="s">
        <v>571</v>
      </c>
      <c r="C156" s="47" t="s">
        <v>1239</v>
      </c>
      <c r="D156" s="48" t="s">
        <v>511</v>
      </c>
      <c r="E156" s="48" t="s">
        <v>675</v>
      </c>
      <c r="F156" s="47" t="s">
        <v>676</v>
      </c>
      <c r="G156" s="47" t="s">
        <v>677</v>
      </c>
      <c r="H156" s="47" t="s">
        <v>678</v>
      </c>
      <c r="I156" s="47">
        <v>1</v>
      </c>
      <c r="J156" s="47">
        <v>1</v>
      </c>
      <c r="K156" s="47" t="s">
        <v>679</v>
      </c>
      <c r="L156" s="47" t="s">
        <v>569</v>
      </c>
      <c r="M156" s="47">
        <v>2012</v>
      </c>
      <c r="N156" s="33" t="str">
        <f>HYPERLINK("http://services.igi-global.com/resolvedoi/resolve.aspx?doi=10.4018/978-1-61350-501-4")</f>
        <v>http://services.igi-global.com/resolvedoi/resolve.aspx?doi=10.4018/978-1-61350-501-4</v>
      </c>
    </row>
    <row r="157" spans="1:14">
      <c r="A157" s="47">
        <v>156</v>
      </c>
      <c r="B157" s="47" t="s">
        <v>571</v>
      </c>
      <c r="C157" s="47" t="s">
        <v>1239</v>
      </c>
      <c r="D157" s="48" t="s">
        <v>503</v>
      </c>
      <c r="E157" s="48" t="s">
        <v>1600</v>
      </c>
      <c r="F157" s="47" t="s">
        <v>1601</v>
      </c>
      <c r="G157" s="47" t="s">
        <v>1602</v>
      </c>
      <c r="H157" s="47" t="s">
        <v>1603</v>
      </c>
      <c r="I157" s="47">
        <v>1</v>
      </c>
      <c r="J157" s="47">
        <v>1</v>
      </c>
      <c r="K157" s="47" t="s">
        <v>547</v>
      </c>
      <c r="L157" s="47" t="s">
        <v>569</v>
      </c>
      <c r="M157" s="47">
        <v>2012</v>
      </c>
      <c r="N157" s="33" t="str">
        <f>HYPERLINK("http://services.igi-global.com/resolvedoi/resolve.aspx?doi=10.4018/978-1-46660-930-3")</f>
        <v>http://services.igi-global.com/resolvedoi/resolve.aspx?doi=10.4018/978-1-46660-930-3</v>
      </c>
    </row>
    <row r="158" spans="1:14">
      <c r="A158" s="47">
        <v>157</v>
      </c>
      <c r="B158" s="47" t="s">
        <v>571</v>
      </c>
      <c r="C158" s="47" t="s">
        <v>1239</v>
      </c>
      <c r="D158" s="48" t="s">
        <v>1556</v>
      </c>
      <c r="E158" s="48" t="s">
        <v>42</v>
      </c>
      <c r="F158" s="47" t="s">
        <v>43</v>
      </c>
      <c r="G158" s="47" t="s">
        <v>44</v>
      </c>
      <c r="H158" s="47" t="s">
        <v>45</v>
      </c>
      <c r="I158" s="47">
        <v>1</v>
      </c>
      <c r="J158" s="47">
        <v>1</v>
      </c>
      <c r="K158" s="47" t="s">
        <v>46</v>
      </c>
      <c r="L158" s="47" t="s">
        <v>569</v>
      </c>
      <c r="M158" s="47">
        <v>2012</v>
      </c>
      <c r="N158" s="33" t="str">
        <f>HYPERLINK("http://services.igi-global.com/resolvedoi/resolve.aspx?doi=10.4018/978-1-46660-234-2")</f>
        <v>http://services.igi-global.com/resolvedoi/resolve.aspx?doi=10.4018/978-1-46660-234-2</v>
      </c>
    </row>
    <row r="159" spans="1:14">
      <c r="A159" s="47">
        <v>158</v>
      </c>
      <c r="B159" s="47" t="s">
        <v>571</v>
      </c>
      <c r="C159" s="47" t="s">
        <v>1239</v>
      </c>
      <c r="D159" s="48" t="s">
        <v>490</v>
      </c>
      <c r="E159" s="48" t="s">
        <v>288</v>
      </c>
      <c r="F159" s="47" t="s">
        <v>289</v>
      </c>
      <c r="G159" s="47" t="s">
        <v>290</v>
      </c>
      <c r="H159" s="47" t="s">
        <v>291</v>
      </c>
      <c r="I159" s="47">
        <v>1</v>
      </c>
      <c r="J159" s="47">
        <v>1</v>
      </c>
      <c r="K159" s="47" t="s">
        <v>292</v>
      </c>
      <c r="L159" s="47" t="s">
        <v>569</v>
      </c>
      <c r="M159" s="47">
        <v>2012</v>
      </c>
      <c r="N159" s="33" t="str">
        <f>HYPERLINK("http://services.igi-global.com/resolvedoi/resolve.aspx?doi=10.4018/978-1-46660-179-6")</f>
        <v>http://services.igi-global.com/resolvedoi/resolve.aspx?doi=10.4018/978-1-46660-179-6</v>
      </c>
    </row>
    <row r="160" spans="1:14">
      <c r="A160" s="47">
        <v>159</v>
      </c>
      <c r="B160" s="47" t="s">
        <v>571</v>
      </c>
      <c r="C160" s="47" t="s">
        <v>1239</v>
      </c>
      <c r="D160" s="48" t="s">
        <v>304</v>
      </c>
      <c r="E160" s="48" t="s">
        <v>305</v>
      </c>
      <c r="F160" s="47" t="s">
        <v>306</v>
      </c>
      <c r="G160" s="47" t="s">
        <v>307</v>
      </c>
      <c r="H160" s="47" t="s">
        <v>308</v>
      </c>
      <c r="I160" s="47">
        <v>1</v>
      </c>
      <c r="J160" s="47">
        <v>1</v>
      </c>
      <c r="K160" s="47" t="s">
        <v>309</v>
      </c>
      <c r="L160" s="47" t="s">
        <v>569</v>
      </c>
      <c r="M160" s="47">
        <v>2012</v>
      </c>
      <c r="N160" s="33" t="str">
        <f>HYPERLINK("http://services.igi-global.com/resolvedoi/resolve.aspx?doi=10.4018/978-1-46660-188-8")</f>
        <v>http://services.igi-global.com/resolvedoi/resolve.aspx?doi=10.4018/978-1-46660-188-8</v>
      </c>
    </row>
    <row r="161" spans="1:14">
      <c r="A161" s="47">
        <v>160</v>
      </c>
      <c r="B161" s="47" t="s">
        <v>571</v>
      </c>
      <c r="C161" s="47" t="s">
        <v>1239</v>
      </c>
      <c r="D161" s="48" t="s">
        <v>491</v>
      </c>
      <c r="E161" s="48" t="s">
        <v>1368</v>
      </c>
      <c r="F161" s="47" t="s">
        <v>1369</v>
      </c>
      <c r="G161" s="47" t="s">
        <v>1370</v>
      </c>
      <c r="H161" s="47" t="s">
        <v>1371</v>
      </c>
      <c r="I161" s="47">
        <v>1</v>
      </c>
      <c r="J161" s="47">
        <v>1</v>
      </c>
      <c r="K161" s="47" t="s">
        <v>1372</v>
      </c>
      <c r="L161" s="47" t="s">
        <v>569</v>
      </c>
      <c r="M161" s="47">
        <v>2012</v>
      </c>
      <c r="N161" s="33" t="str">
        <f>HYPERLINK("http://services.igi-global.com/resolvedoi/resolve.aspx?doi=10.4018/978-1-46661-562-5")</f>
        <v>http://services.igi-global.com/resolvedoi/resolve.aspx?doi=10.4018/978-1-46661-562-5</v>
      </c>
    </row>
    <row r="162" spans="1:14">
      <c r="A162" s="47">
        <v>161</v>
      </c>
      <c r="B162" s="47" t="s">
        <v>571</v>
      </c>
      <c r="C162" s="47" t="s">
        <v>1239</v>
      </c>
      <c r="D162" s="48" t="s">
        <v>743</v>
      </c>
      <c r="E162" s="48" t="s">
        <v>744</v>
      </c>
      <c r="F162" s="47" t="s">
        <v>745</v>
      </c>
      <c r="G162" s="47" t="s">
        <v>746</v>
      </c>
      <c r="H162" s="47" t="s">
        <v>747</v>
      </c>
      <c r="I162" s="47">
        <v>1</v>
      </c>
      <c r="J162" s="47">
        <v>1</v>
      </c>
      <c r="K162" s="47" t="s">
        <v>748</v>
      </c>
      <c r="L162" s="47" t="s">
        <v>569</v>
      </c>
      <c r="M162" s="47">
        <v>2012</v>
      </c>
      <c r="N162" s="33" t="str">
        <f>HYPERLINK("http://services.igi-global.com/resolvedoi/resolve.aspx?doi=10.4018/978-1-61350-201-3")</f>
        <v>http://services.igi-global.com/resolvedoi/resolve.aspx?doi=10.4018/978-1-61350-201-3</v>
      </c>
    </row>
    <row r="163" spans="1:14">
      <c r="A163" s="47">
        <v>162</v>
      </c>
      <c r="B163" s="47" t="s">
        <v>571</v>
      </c>
      <c r="C163" s="47" t="s">
        <v>1239</v>
      </c>
      <c r="D163" s="48" t="s">
        <v>47</v>
      </c>
      <c r="E163" s="48" t="s">
        <v>48</v>
      </c>
      <c r="F163" s="47" t="s">
        <v>49</v>
      </c>
      <c r="G163" s="47" t="s">
        <v>50</v>
      </c>
      <c r="H163" s="47" t="s">
        <v>51</v>
      </c>
      <c r="I163" s="47">
        <v>1</v>
      </c>
      <c r="J163" s="47">
        <v>1</v>
      </c>
      <c r="K163" s="47" t="s">
        <v>52</v>
      </c>
      <c r="L163" s="47" t="s">
        <v>569</v>
      </c>
      <c r="M163" s="47">
        <v>2012</v>
      </c>
      <c r="N163" s="33" t="str">
        <f>HYPERLINK("http://services.igi-global.com/resolvedoi/resolve.aspx?doi=10.4018/978-1-46660-237-3")</f>
        <v>http://services.igi-global.com/resolvedoi/resolve.aspx?doi=10.4018/978-1-46660-237-3</v>
      </c>
    </row>
    <row r="164" spans="1:14">
      <c r="A164" s="47">
        <v>163</v>
      </c>
      <c r="B164" s="47" t="s">
        <v>571</v>
      </c>
      <c r="C164" s="47" t="s">
        <v>1239</v>
      </c>
      <c r="D164" s="48" t="s">
        <v>503</v>
      </c>
      <c r="E164" s="48" t="s">
        <v>928</v>
      </c>
      <c r="F164" s="47" t="s">
        <v>929</v>
      </c>
      <c r="G164" s="47" t="s">
        <v>930</v>
      </c>
      <c r="H164" s="47" t="s">
        <v>931</v>
      </c>
      <c r="I164" s="47">
        <v>1</v>
      </c>
      <c r="J164" s="47">
        <v>1</v>
      </c>
      <c r="K164" s="47" t="s">
        <v>932</v>
      </c>
      <c r="L164" s="47" t="s">
        <v>568</v>
      </c>
      <c r="M164" s="47">
        <v>2012</v>
      </c>
      <c r="N164" s="33" t="str">
        <f>HYPERLINK("http://services.igi-global.com/resolvedoi/resolve.aspx?doi=10.4018/978-1-61350-165-8")</f>
        <v>http://services.igi-global.com/resolvedoi/resolve.aspx?doi=10.4018/978-1-61350-165-8</v>
      </c>
    </row>
    <row r="165" spans="1:14">
      <c r="A165" s="47">
        <v>164</v>
      </c>
      <c r="B165" s="47" t="s">
        <v>571</v>
      </c>
      <c r="C165" s="47" t="s">
        <v>1239</v>
      </c>
      <c r="D165" s="48" t="s">
        <v>503</v>
      </c>
      <c r="E165" s="48" t="s">
        <v>1059</v>
      </c>
      <c r="F165" s="47" t="s">
        <v>1060</v>
      </c>
      <c r="G165" s="47" t="s">
        <v>1061</v>
      </c>
      <c r="H165" s="47" t="s">
        <v>1062</v>
      </c>
      <c r="I165" s="47">
        <v>1</v>
      </c>
      <c r="J165" s="47">
        <v>1</v>
      </c>
      <c r="K165" s="47" t="s">
        <v>1063</v>
      </c>
      <c r="L165" s="47" t="s">
        <v>568</v>
      </c>
      <c r="M165" s="47">
        <v>2011</v>
      </c>
      <c r="N165" s="33" t="str">
        <f>HYPERLINK("http://services.igi-global.com/resolvedoi/resolve.aspx?doi=10.4018/978-1-60960-054-9")</f>
        <v>http://services.igi-global.com/resolvedoi/resolve.aspx?doi=10.4018/978-1-60960-054-9</v>
      </c>
    </row>
    <row r="166" spans="1:14">
      <c r="A166" s="47">
        <v>165</v>
      </c>
      <c r="B166" s="47" t="s">
        <v>571</v>
      </c>
      <c r="C166" s="47" t="s">
        <v>1239</v>
      </c>
      <c r="D166" s="48" t="s">
        <v>503</v>
      </c>
      <c r="E166" s="48" t="s">
        <v>1049</v>
      </c>
      <c r="F166" s="47" t="s">
        <v>1050</v>
      </c>
      <c r="G166" s="47" t="s">
        <v>1051</v>
      </c>
      <c r="H166" s="47" t="s">
        <v>1052</v>
      </c>
      <c r="I166" s="47">
        <v>1</v>
      </c>
      <c r="J166" s="47">
        <v>1</v>
      </c>
      <c r="K166" s="47" t="s">
        <v>1053</v>
      </c>
      <c r="L166" s="47" t="s">
        <v>568</v>
      </c>
      <c r="M166" s="47">
        <v>2011</v>
      </c>
      <c r="N166" s="33" t="str">
        <f>HYPERLINK("http://services.igi-global.com/resolvedoi/resolve.aspx?doi=10.4018/978-1-60960-071-6")</f>
        <v>http://services.igi-global.com/resolvedoi/resolve.aspx?doi=10.4018/978-1-60960-071-6</v>
      </c>
    </row>
    <row r="167" spans="1:14">
      <c r="A167" s="47">
        <v>166</v>
      </c>
      <c r="B167" s="47" t="s">
        <v>571</v>
      </c>
      <c r="C167" s="47" t="s">
        <v>563</v>
      </c>
      <c r="D167" s="48" t="s">
        <v>504</v>
      </c>
      <c r="E167" s="48" t="s">
        <v>1257</v>
      </c>
      <c r="F167" s="47" t="s">
        <v>1258</v>
      </c>
      <c r="G167" s="47" t="s">
        <v>1259</v>
      </c>
      <c r="H167" s="47" t="s">
        <v>1260</v>
      </c>
      <c r="I167" s="47">
        <v>1</v>
      </c>
      <c r="J167" s="47">
        <v>1</v>
      </c>
      <c r="K167" s="47" t="s">
        <v>1261</v>
      </c>
      <c r="L167" s="47" t="s">
        <v>561</v>
      </c>
      <c r="M167" s="47">
        <v>2012</v>
      </c>
      <c r="N167" s="33" t="str">
        <f>HYPERLINK("http://services.igi-global.com/resolvedoi/resolve.aspx?doi=10.4018/978-1-46661-755-1")</f>
        <v>http://services.igi-global.com/resolvedoi/resolve.aspx?doi=10.4018/978-1-46661-755-1</v>
      </c>
    </row>
    <row r="168" spans="1:14">
      <c r="A168" s="47">
        <v>167</v>
      </c>
      <c r="B168" s="47" t="s">
        <v>571</v>
      </c>
      <c r="C168" s="47" t="s">
        <v>563</v>
      </c>
      <c r="D168" s="48" t="s">
        <v>504</v>
      </c>
      <c r="E168" s="48" t="s">
        <v>786</v>
      </c>
      <c r="F168" s="47" t="s">
        <v>787</v>
      </c>
      <c r="G168" s="47" t="s">
        <v>788</v>
      </c>
      <c r="H168" s="47" t="s">
        <v>789</v>
      </c>
      <c r="I168" s="47">
        <v>1</v>
      </c>
      <c r="J168" s="47">
        <v>1</v>
      </c>
      <c r="K168" s="47" t="s">
        <v>790</v>
      </c>
      <c r="L168" s="47" t="s">
        <v>561</v>
      </c>
      <c r="M168" s="47">
        <v>2012</v>
      </c>
      <c r="N168" s="33" t="str">
        <f>HYPERLINK("http://services.igi-global.com/resolvedoi/resolve.aspx?doi=10.4018/978-1-61350-123-8")</f>
        <v>http://services.igi-global.com/resolvedoi/resolve.aspx?doi=10.4018/978-1-61350-123-8</v>
      </c>
    </row>
    <row r="169" spans="1:14">
      <c r="A169" s="47">
        <v>168</v>
      </c>
      <c r="B169" s="47" t="s">
        <v>571</v>
      </c>
      <c r="C169" s="47" t="s">
        <v>563</v>
      </c>
      <c r="D169" s="48" t="s">
        <v>504</v>
      </c>
      <c r="E169" s="48" t="s">
        <v>1571</v>
      </c>
      <c r="F169" s="47" t="s">
        <v>1572</v>
      </c>
      <c r="G169" s="47" t="s">
        <v>1573</v>
      </c>
      <c r="H169" s="47" t="s">
        <v>1574</v>
      </c>
      <c r="I169" s="47">
        <v>1</v>
      </c>
      <c r="J169" s="47">
        <v>1</v>
      </c>
      <c r="K169" s="47" t="s">
        <v>1575</v>
      </c>
      <c r="L169" s="47" t="s">
        <v>561</v>
      </c>
      <c r="M169" s="47">
        <v>2012</v>
      </c>
      <c r="N169" s="33" t="str">
        <f>HYPERLINK("http://services.igi-global.com/resolvedoi/resolve.aspx?doi=10.4018/978-1-46660-909-9")</f>
        <v>http://services.igi-global.com/resolvedoi/resolve.aspx?doi=10.4018/978-1-46660-909-9</v>
      </c>
    </row>
    <row r="170" spans="1:14">
      <c r="A170" s="47">
        <v>169</v>
      </c>
      <c r="B170" s="47" t="s">
        <v>571</v>
      </c>
      <c r="C170" s="47" t="s">
        <v>563</v>
      </c>
      <c r="D170" s="48" t="s">
        <v>212</v>
      </c>
      <c r="E170" s="48" t="s">
        <v>213</v>
      </c>
      <c r="F170" s="47" t="s">
        <v>214</v>
      </c>
      <c r="G170" s="47" t="s">
        <v>215</v>
      </c>
      <c r="H170" s="47" t="s">
        <v>216</v>
      </c>
      <c r="I170" s="47">
        <v>2</v>
      </c>
      <c r="J170" s="47">
        <v>1</v>
      </c>
      <c r="K170" s="47" t="s">
        <v>217</v>
      </c>
      <c r="L170" s="47" t="s">
        <v>561</v>
      </c>
      <c r="M170" s="47">
        <v>2012</v>
      </c>
      <c r="N170" s="33" t="str">
        <f>HYPERLINK("http://services.igi-global.com/resolvedoi/resolve.aspx?doi=10.4018/978-1-46660-122-2")</f>
        <v>http://services.igi-global.com/resolvedoi/resolve.aspx?doi=10.4018/978-1-46660-122-2</v>
      </c>
    </row>
    <row r="171" spans="1:14">
      <c r="A171" s="47">
        <v>170</v>
      </c>
      <c r="B171" s="47" t="s">
        <v>571</v>
      </c>
      <c r="C171" s="47" t="s">
        <v>563</v>
      </c>
      <c r="D171" s="48" t="s">
        <v>397</v>
      </c>
      <c r="E171" s="48" t="s">
        <v>398</v>
      </c>
      <c r="F171" s="47" t="s">
        <v>399</v>
      </c>
      <c r="G171" s="47" t="s">
        <v>400</v>
      </c>
      <c r="H171" s="47" t="s">
        <v>401</v>
      </c>
      <c r="I171" s="47">
        <v>1</v>
      </c>
      <c r="J171" s="47">
        <v>1</v>
      </c>
      <c r="K171" s="47" t="s">
        <v>402</v>
      </c>
      <c r="L171" s="47" t="s">
        <v>561</v>
      </c>
      <c r="M171" s="47">
        <v>2012</v>
      </c>
      <c r="N171" s="33" t="str">
        <f>HYPERLINK("http://services.igi-global.com/resolvedoi/resolve.aspx?doi=10.4018/978-1-46660-059-1")</f>
        <v>http://services.igi-global.com/resolvedoi/resolve.aspx?doi=10.4018/978-1-46660-059-1</v>
      </c>
    </row>
    <row r="172" spans="1:14">
      <c r="A172" s="47">
        <v>171</v>
      </c>
      <c r="B172" s="47" t="s">
        <v>571</v>
      </c>
      <c r="C172" s="47" t="s">
        <v>563</v>
      </c>
      <c r="D172" s="48" t="s">
        <v>162</v>
      </c>
      <c r="E172" s="48" t="s">
        <v>163</v>
      </c>
      <c r="F172" s="47" t="s">
        <v>164</v>
      </c>
      <c r="G172" s="47" t="s">
        <v>165</v>
      </c>
      <c r="H172" s="47" t="s">
        <v>166</v>
      </c>
      <c r="I172" s="47">
        <v>1</v>
      </c>
      <c r="J172" s="47">
        <v>1</v>
      </c>
      <c r="K172" s="47" t="s">
        <v>167</v>
      </c>
      <c r="L172" s="47" t="s">
        <v>561</v>
      </c>
      <c r="M172" s="47">
        <v>2012</v>
      </c>
      <c r="N172" s="33" t="str">
        <f>HYPERLINK("http://services.igi-global.com/resolvedoi/resolve.aspx?doi=10.4018/978-1-46660-309-7")</f>
        <v>http://services.igi-global.com/resolvedoi/resolve.aspx?doi=10.4018/978-1-46660-309-7</v>
      </c>
    </row>
    <row r="173" spans="1:14">
      <c r="A173" s="47">
        <v>172</v>
      </c>
      <c r="B173" s="47" t="s">
        <v>571</v>
      </c>
      <c r="C173" s="47" t="s">
        <v>563</v>
      </c>
      <c r="D173" s="48" t="s">
        <v>923</v>
      </c>
      <c r="E173" s="48" t="s">
        <v>924</v>
      </c>
      <c r="F173" s="47" t="s">
        <v>925</v>
      </c>
      <c r="G173" s="47" t="s">
        <v>926</v>
      </c>
      <c r="H173" s="47" t="s">
        <v>927</v>
      </c>
      <c r="I173" s="47">
        <v>1</v>
      </c>
      <c r="J173" s="47">
        <v>1</v>
      </c>
      <c r="K173" s="47" t="s">
        <v>488</v>
      </c>
      <c r="L173" s="47" t="s">
        <v>561</v>
      </c>
      <c r="M173" s="47">
        <v>2012</v>
      </c>
      <c r="N173" s="33" t="str">
        <f>HYPERLINK("http://services.igi-global.com/resolvedoi/resolve.aspx?doi=10.4018/978-1-61350-120-7")</f>
        <v>http://services.igi-global.com/resolvedoi/resolve.aspx?doi=10.4018/978-1-61350-120-7</v>
      </c>
    </row>
    <row r="174" spans="1:14">
      <c r="A174" s="47">
        <v>173</v>
      </c>
      <c r="B174" s="47" t="s">
        <v>571</v>
      </c>
      <c r="C174" s="47" t="s">
        <v>563</v>
      </c>
      <c r="D174" s="48" t="s">
        <v>593</v>
      </c>
      <c r="E174" s="48" t="s">
        <v>594</v>
      </c>
      <c r="F174" s="47" t="s">
        <v>595</v>
      </c>
      <c r="G174" s="47" t="s">
        <v>596</v>
      </c>
      <c r="H174" s="47" t="s">
        <v>597</v>
      </c>
      <c r="I174" s="47">
        <v>1</v>
      </c>
      <c r="J174" s="47">
        <v>1</v>
      </c>
      <c r="K174" s="47" t="s">
        <v>598</v>
      </c>
      <c r="L174" s="47" t="s">
        <v>561</v>
      </c>
      <c r="M174" s="47">
        <v>2012</v>
      </c>
      <c r="N174" s="33" t="str">
        <f>HYPERLINK("http://services.igi-global.com/resolvedoi/resolve.aspx?doi=10.4018/978-1-61350-435-2")</f>
        <v>http://services.igi-global.com/resolvedoi/resolve.aspx?doi=10.4018/978-1-61350-435-2</v>
      </c>
    </row>
    <row r="175" spans="1:14">
      <c r="A175" s="47">
        <v>174</v>
      </c>
      <c r="B175" s="47" t="s">
        <v>571</v>
      </c>
      <c r="C175" s="47" t="s">
        <v>563</v>
      </c>
      <c r="D175" s="48" t="s">
        <v>397</v>
      </c>
      <c r="E175" s="48" t="s">
        <v>1070</v>
      </c>
      <c r="F175" s="47" t="s">
        <v>1071</v>
      </c>
      <c r="G175" s="47" t="s">
        <v>1072</v>
      </c>
      <c r="H175" s="47" t="s">
        <v>1073</v>
      </c>
      <c r="I175" s="47">
        <v>1</v>
      </c>
      <c r="J175" s="47">
        <v>1</v>
      </c>
      <c r="K175" s="47" t="s">
        <v>1074</v>
      </c>
      <c r="L175" s="47" t="s">
        <v>561</v>
      </c>
      <c r="M175" s="47">
        <v>2011</v>
      </c>
      <c r="N175" s="33" t="str">
        <f>HYPERLINK("http://services.igi-global.com/resolvedoi/resolve.aspx?doi=10.4018/978-1-60566-280-0")</f>
        <v>http://services.igi-global.com/resolvedoi/resolve.aspx?doi=10.4018/978-1-60566-280-0</v>
      </c>
    </row>
    <row r="176" spans="1:14">
      <c r="A176" s="47">
        <v>175</v>
      </c>
      <c r="B176" s="47" t="s">
        <v>571</v>
      </c>
      <c r="C176" s="47" t="s">
        <v>563</v>
      </c>
      <c r="D176" s="48" t="s">
        <v>1017</v>
      </c>
      <c r="E176" s="48" t="s">
        <v>1018</v>
      </c>
      <c r="F176" s="47" t="s">
        <v>1019</v>
      </c>
      <c r="G176" s="47" t="s">
        <v>1020</v>
      </c>
      <c r="H176" s="47" t="s">
        <v>1021</v>
      </c>
      <c r="I176" s="47">
        <v>1</v>
      </c>
      <c r="J176" s="47">
        <v>1</v>
      </c>
      <c r="K176" s="47" t="s">
        <v>1022</v>
      </c>
      <c r="L176" s="47" t="s">
        <v>561</v>
      </c>
      <c r="M176" s="47">
        <v>2011</v>
      </c>
      <c r="N176" s="33" t="str">
        <f>HYPERLINK("http://services.igi-global.com/resolvedoi/resolve.aspx?doi=10.4018/978-1-60960-559-9")</f>
        <v>http://services.igi-global.com/resolvedoi/resolve.aspx?doi=10.4018/978-1-60960-559-9</v>
      </c>
    </row>
    <row r="177" spans="1:14">
      <c r="A177" s="47">
        <v>176</v>
      </c>
      <c r="B177" s="47" t="s">
        <v>571</v>
      </c>
      <c r="C177" s="47" t="s">
        <v>563</v>
      </c>
      <c r="D177" s="48" t="s">
        <v>593</v>
      </c>
      <c r="E177" s="48" t="s">
        <v>1012</v>
      </c>
      <c r="F177" s="47" t="s">
        <v>1013</v>
      </c>
      <c r="G177" s="47" t="s">
        <v>1014</v>
      </c>
      <c r="H177" s="47" t="s">
        <v>1015</v>
      </c>
      <c r="I177" s="47">
        <v>1</v>
      </c>
      <c r="J177" s="47">
        <v>1</v>
      </c>
      <c r="K177" s="47" t="s">
        <v>1016</v>
      </c>
      <c r="L177" s="47" t="s">
        <v>561</v>
      </c>
      <c r="M177" s="47">
        <v>2011</v>
      </c>
      <c r="N177" s="33" t="str">
        <f>HYPERLINK("http://services.igi-global.com/resolvedoi/resolve.aspx?doi=10.4018/978-1-60960-557-5")</f>
        <v>http://services.igi-global.com/resolvedoi/resolve.aspx?doi=10.4018/978-1-60960-557-5</v>
      </c>
    </row>
    <row r="178" spans="1:14">
      <c r="A178" s="47">
        <v>177</v>
      </c>
      <c r="B178" s="47" t="s">
        <v>571</v>
      </c>
      <c r="C178" s="47" t="s">
        <v>563</v>
      </c>
      <c r="D178" s="48" t="s">
        <v>1038</v>
      </c>
      <c r="E178" s="48" t="s">
        <v>1039</v>
      </c>
      <c r="F178" s="47" t="s">
        <v>1040</v>
      </c>
      <c r="G178" s="47" t="s">
        <v>1041</v>
      </c>
      <c r="H178" s="47" t="s">
        <v>1042</v>
      </c>
      <c r="I178" s="47">
        <v>1</v>
      </c>
      <c r="J178" s="47">
        <v>1</v>
      </c>
      <c r="K178" s="47" t="s">
        <v>1043</v>
      </c>
      <c r="L178" s="47" t="s">
        <v>561</v>
      </c>
      <c r="M178" s="47">
        <v>2011</v>
      </c>
      <c r="N178" s="33" t="str">
        <f>HYPERLINK("http://services.igi-global.com/resolvedoi/resolve.aspx?doi=10.4018/978-1-60960-180-5")</f>
        <v>http://services.igi-global.com/resolvedoi/resolve.aspx?doi=10.4018/978-1-60960-180-5</v>
      </c>
    </row>
    <row r="179" spans="1:14">
      <c r="A179" s="47">
        <v>178</v>
      </c>
      <c r="B179" s="47" t="s">
        <v>571</v>
      </c>
      <c r="C179" s="47" t="s">
        <v>563</v>
      </c>
      <c r="D179" s="48" t="s">
        <v>523</v>
      </c>
      <c r="E179" s="48" t="s">
        <v>1153</v>
      </c>
      <c r="F179" s="47" t="s">
        <v>1154</v>
      </c>
      <c r="G179" s="47" t="s">
        <v>1155</v>
      </c>
      <c r="H179" s="47" t="s">
        <v>1156</v>
      </c>
      <c r="I179" s="47">
        <v>1</v>
      </c>
      <c r="J179" s="47">
        <v>1</v>
      </c>
      <c r="K179" s="47" t="s">
        <v>488</v>
      </c>
      <c r="L179" s="47" t="s">
        <v>561</v>
      </c>
      <c r="M179" s="47">
        <v>2010</v>
      </c>
      <c r="N179" s="33" t="str">
        <f>HYPERLINK("http://services.igi-global.com/resolvedoi/resolve.aspx?doi=10.4018/978-1-60566-768-3")</f>
        <v>http://services.igi-global.com/resolvedoi/resolve.aspx?doi=10.4018/978-1-60566-768-3</v>
      </c>
    </row>
    <row r="180" spans="1:14">
      <c r="A180" s="47">
        <v>179</v>
      </c>
      <c r="B180" s="47" t="s">
        <v>571</v>
      </c>
      <c r="C180" s="47" t="s">
        <v>563</v>
      </c>
      <c r="D180" s="48" t="s">
        <v>504</v>
      </c>
      <c r="E180" s="48" t="s">
        <v>1092</v>
      </c>
      <c r="F180" s="47" t="s">
        <v>1093</v>
      </c>
      <c r="G180" s="47" t="s">
        <v>1094</v>
      </c>
      <c r="H180" s="47" t="s">
        <v>1095</v>
      </c>
      <c r="I180" s="47">
        <v>1</v>
      </c>
      <c r="J180" s="47">
        <v>1</v>
      </c>
      <c r="K180" s="47" t="s">
        <v>1096</v>
      </c>
      <c r="L180" s="47" t="s">
        <v>561</v>
      </c>
      <c r="M180" s="47">
        <v>2010</v>
      </c>
      <c r="N180" s="33" t="str">
        <f>HYPERLINK("http://services.igi-global.com/resolvedoi/resolve.aspx?doi=10.4018/978-1-60566-266-4")</f>
        <v>http://services.igi-global.com/resolvedoi/resolve.aspx?doi=10.4018/978-1-60566-266-4</v>
      </c>
    </row>
    <row r="181" spans="1:14">
      <c r="A181" s="47">
        <v>180</v>
      </c>
      <c r="B181" s="47" t="s">
        <v>571</v>
      </c>
      <c r="C181" s="47" t="s">
        <v>1298</v>
      </c>
      <c r="D181" s="48" t="s">
        <v>530</v>
      </c>
      <c r="E181" s="48" t="s">
        <v>950</v>
      </c>
      <c r="F181" s="47" t="s">
        <v>951</v>
      </c>
      <c r="G181" s="47" t="s">
        <v>952</v>
      </c>
      <c r="H181" s="47" t="s">
        <v>953</v>
      </c>
      <c r="I181" s="47">
        <v>1</v>
      </c>
      <c r="J181" s="47">
        <v>1</v>
      </c>
      <c r="K181" s="47" t="s">
        <v>954</v>
      </c>
      <c r="L181" s="47" t="s">
        <v>569</v>
      </c>
      <c r="M181" s="47">
        <v>2012</v>
      </c>
      <c r="N181" s="33" t="str">
        <f>HYPERLINK("http://services.igi-global.com/resolvedoi/resolve.aspx?doi=10.4018/978-1-61350-110-8")</f>
        <v>http://services.igi-global.com/resolvedoi/resolve.aspx?doi=10.4018/978-1-61350-110-8</v>
      </c>
    </row>
    <row r="182" spans="1:14">
      <c r="A182" s="47">
        <v>181</v>
      </c>
      <c r="B182" s="47" t="s">
        <v>571</v>
      </c>
      <c r="C182" s="47" t="s">
        <v>1298</v>
      </c>
      <c r="D182" s="48" t="s">
        <v>507</v>
      </c>
      <c r="E182" s="48" t="s">
        <v>208</v>
      </c>
      <c r="F182" s="47" t="s">
        <v>209</v>
      </c>
      <c r="G182" s="47" t="s">
        <v>210</v>
      </c>
      <c r="H182" s="47" t="s">
        <v>211</v>
      </c>
      <c r="I182" s="47">
        <v>1</v>
      </c>
      <c r="J182" s="47">
        <v>1</v>
      </c>
      <c r="K182" s="47" t="s">
        <v>537</v>
      </c>
      <c r="L182" s="47" t="s">
        <v>569</v>
      </c>
      <c r="M182" s="47">
        <v>2012</v>
      </c>
      <c r="N182" s="33" t="str">
        <f>HYPERLINK("http://services.igi-global.com/resolvedoi/resolve.aspx?doi=10.4018/978-1-46660-119-2")</f>
        <v>http://services.igi-global.com/resolvedoi/resolve.aspx?doi=10.4018/978-1-46660-119-2</v>
      </c>
    </row>
    <row r="183" spans="1:14">
      <c r="A183" s="47">
        <v>182</v>
      </c>
      <c r="B183" s="47" t="s">
        <v>571</v>
      </c>
      <c r="C183" s="47" t="s">
        <v>1298</v>
      </c>
      <c r="D183" s="48" t="s">
        <v>1481</v>
      </c>
      <c r="E183" s="48" t="s">
        <v>1482</v>
      </c>
      <c r="F183" s="47" t="s">
        <v>1483</v>
      </c>
      <c r="G183" s="47" t="s">
        <v>1484</v>
      </c>
      <c r="H183" s="47" t="s">
        <v>1485</v>
      </c>
      <c r="I183" s="47">
        <v>1</v>
      </c>
      <c r="J183" s="47">
        <v>1</v>
      </c>
      <c r="K183" s="47" t="s">
        <v>1486</v>
      </c>
      <c r="L183" s="47" t="s">
        <v>569</v>
      </c>
      <c r="M183" s="47">
        <v>2012</v>
      </c>
      <c r="N183" s="33" t="str">
        <f>HYPERLINK("http://services.igi-global.com/resolvedoi/resolve.aspx?doi=10.4018/978-1-46661-634-9")</f>
        <v>http://services.igi-global.com/resolvedoi/resolve.aspx?doi=10.4018/978-1-46661-634-9</v>
      </c>
    </row>
    <row r="184" spans="1:14">
      <c r="A184" s="47">
        <v>183</v>
      </c>
      <c r="B184" s="47" t="s">
        <v>571</v>
      </c>
      <c r="C184" s="47" t="s">
        <v>1298</v>
      </c>
      <c r="D184" s="48" t="s">
        <v>533</v>
      </c>
      <c r="E184" s="48" t="s">
        <v>1613</v>
      </c>
      <c r="F184" s="47" t="s">
        <v>1614</v>
      </c>
      <c r="G184" s="47" t="s">
        <v>1615</v>
      </c>
      <c r="H184" s="47" t="s">
        <v>1616</v>
      </c>
      <c r="I184" s="47">
        <v>1</v>
      </c>
      <c r="J184" s="47">
        <v>1</v>
      </c>
      <c r="K184" s="47" t="s">
        <v>1617</v>
      </c>
      <c r="L184" s="47" t="s">
        <v>569</v>
      </c>
      <c r="M184" s="47">
        <v>2012</v>
      </c>
      <c r="N184" s="33" t="str">
        <f>HYPERLINK("http://services.igi-global.com/resolvedoi/resolve.aspx?doi=10.4018/978-1-46660-942-6")</f>
        <v>http://services.igi-global.com/resolvedoi/resolve.aspx?doi=10.4018/978-1-46660-942-6</v>
      </c>
    </row>
    <row r="185" spans="1:14">
      <c r="A185" s="47">
        <v>184</v>
      </c>
      <c r="B185" s="47" t="s">
        <v>571</v>
      </c>
      <c r="C185" s="47" t="s">
        <v>1298</v>
      </c>
      <c r="D185" s="48" t="s">
        <v>760</v>
      </c>
      <c r="E185" s="48" t="s">
        <v>761</v>
      </c>
      <c r="F185" s="47" t="s">
        <v>762</v>
      </c>
      <c r="G185" s="47" t="s">
        <v>763</v>
      </c>
      <c r="H185" s="47" t="s">
        <v>764</v>
      </c>
      <c r="I185" s="47">
        <v>1</v>
      </c>
      <c r="J185" s="47">
        <v>1</v>
      </c>
      <c r="K185" s="47" t="s">
        <v>765</v>
      </c>
      <c r="L185" s="47" t="s">
        <v>569</v>
      </c>
      <c r="M185" s="47">
        <v>2012</v>
      </c>
      <c r="N185" s="33" t="str">
        <f>HYPERLINK("http://services.igi-global.com/resolvedoi/resolve.aspx?doi=10.4018/978-1-61350-326-3")</f>
        <v>http://services.igi-global.com/resolvedoi/resolve.aspx?doi=10.4018/978-1-61350-326-3</v>
      </c>
    </row>
    <row r="186" spans="1:14">
      <c r="A186" s="47">
        <v>185</v>
      </c>
      <c r="B186" s="47" t="s">
        <v>571</v>
      </c>
      <c r="C186" s="47" t="s">
        <v>1298</v>
      </c>
      <c r="D186" s="48" t="s">
        <v>1309</v>
      </c>
      <c r="E186" s="48" t="s">
        <v>1310</v>
      </c>
      <c r="F186" s="47" t="s">
        <v>1311</v>
      </c>
      <c r="G186" s="47" t="s">
        <v>1312</v>
      </c>
      <c r="H186" s="47" t="s">
        <v>1313</v>
      </c>
      <c r="I186" s="47">
        <v>1</v>
      </c>
      <c r="J186" s="47">
        <v>1</v>
      </c>
      <c r="K186" s="47" t="s">
        <v>1314</v>
      </c>
      <c r="L186" s="47" t="s">
        <v>569</v>
      </c>
      <c r="M186" s="47">
        <v>2012</v>
      </c>
      <c r="N186" s="33" t="str">
        <f>HYPERLINK("http://services.igi-global.com/resolvedoi/resolve.aspx?doi=10.4018/978-1-46661-797-1")</f>
        <v>http://services.igi-global.com/resolvedoi/resolve.aspx?doi=10.4018/978-1-46661-797-1</v>
      </c>
    </row>
    <row r="187" spans="1:14">
      <c r="A187" s="47">
        <v>186</v>
      </c>
      <c r="B187" s="47" t="s">
        <v>571</v>
      </c>
      <c r="C187" s="47" t="s">
        <v>1298</v>
      </c>
      <c r="D187" s="48" t="s">
        <v>512</v>
      </c>
      <c r="E187" s="48" t="s">
        <v>0</v>
      </c>
      <c r="F187" s="47" t="s">
        <v>1</v>
      </c>
      <c r="G187" s="47" t="s">
        <v>2</v>
      </c>
      <c r="H187" s="47" t="s">
        <v>3</v>
      </c>
      <c r="I187" s="47">
        <v>1</v>
      </c>
      <c r="J187" s="47">
        <v>1</v>
      </c>
      <c r="K187" s="47" t="s">
        <v>4</v>
      </c>
      <c r="L187" s="47" t="s">
        <v>569</v>
      </c>
      <c r="M187" s="47">
        <v>2012</v>
      </c>
      <c r="N187" s="33" t="str">
        <f>HYPERLINK("http://services.igi-global.com/resolvedoi/resolve.aspx?doi=10.4018/978-1-46660-945-7")</f>
        <v>http://services.igi-global.com/resolvedoi/resolve.aspx?doi=10.4018/978-1-46660-945-7</v>
      </c>
    </row>
    <row r="188" spans="1:14">
      <c r="A188" s="47">
        <v>187</v>
      </c>
      <c r="B188" s="47" t="s">
        <v>571</v>
      </c>
      <c r="C188" s="47" t="s">
        <v>1298</v>
      </c>
      <c r="D188" s="48" t="s">
        <v>1591</v>
      </c>
      <c r="E188" s="48" t="s">
        <v>1592</v>
      </c>
      <c r="F188" s="47" t="s">
        <v>1593</v>
      </c>
      <c r="G188" s="47" t="s">
        <v>1594</v>
      </c>
      <c r="H188" s="47" t="s">
        <v>1595</v>
      </c>
      <c r="I188" s="47">
        <v>1</v>
      </c>
      <c r="J188" s="47">
        <v>1</v>
      </c>
      <c r="K188" s="47" t="s">
        <v>1363</v>
      </c>
      <c r="L188" s="47" t="s">
        <v>569</v>
      </c>
      <c r="M188" s="47">
        <v>2012</v>
      </c>
      <c r="N188" s="33" t="str">
        <f>HYPERLINK("http://services.igi-global.com/resolvedoi/resolve.aspx?doi=10.4018/978-1-46660-921-1")</f>
        <v>http://services.igi-global.com/resolvedoi/resolve.aspx?doi=10.4018/978-1-46660-921-1</v>
      </c>
    </row>
    <row r="189" spans="1:14">
      <c r="A189" s="47">
        <v>188</v>
      </c>
      <c r="B189" s="47" t="s">
        <v>571</v>
      </c>
      <c r="C189" s="47" t="s">
        <v>1298</v>
      </c>
      <c r="D189" s="48" t="s">
        <v>190</v>
      </c>
      <c r="E189" s="48" t="s">
        <v>191</v>
      </c>
      <c r="F189" s="47" t="s">
        <v>192</v>
      </c>
      <c r="G189" s="47" t="s">
        <v>193</v>
      </c>
      <c r="H189" s="47" t="s">
        <v>194</v>
      </c>
      <c r="I189" s="47">
        <v>1</v>
      </c>
      <c r="J189" s="47">
        <v>1</v>
      </c>
      <c r="K189" s="47" t="s">
        <v>195</v>
      </c>
      <c r="L189" s="47" t="s">
        <v>569</v>
      </c>
      <c r="M189" s="47">
        <v>2012</v>
      </c>
      <c r="N189" s="33" t="str">
        <f>HYPERLINK("http://services.igi-global.com/resolvedoi/resolve.aspx?doi=10.4018/978-1-46660-336-3")</f>
        <v>http://services.igi-global.com/resolvedoi/resolve.aspx?doi=10.4018/978-1-46660-336-3</v>
      </c>
    </row>
    <row r="190" spans="1:14">
      <c r="A190" s="47">
        <v>189</v>
      </c>
      <c r="B190" s="47" t="s">
        <v>571</v>
      </c>
      <c r="C190" s="47" t="s">
        <v>1298</v>
      </c>
      <c r="D190" s="48" t="s">
        <v>346</v>
      </c>
      <c r="E190" s="48" t="s">
        <v>447</v>
      </c>
      <c r="F190" s="47" t="s">
        <v>448</v>
      </c>
      <c r="G190" s="47" t="s">
        <v>449</v>
      </c>
      <c r="H190" s="47" t="s">
        <v>450</v>
      </c>
      <c r="I190" s="47">
        <v>1</v>
      </c>
      <c r="J190" s="47">
        <v>1</v>
      </c>
      <c r="K190" s="47" t="s">
        <v>451</v>
      </c>
      <c r="L190" s="47" t="s">
        <v>569</v>
      </c>
      <c r="M190" s="47">
        <v>2012</v>
      </c>
      <c r="N190" s="33" t="str">
        <f>HYPERLINK("http://services.igi-global.com/resolvedoi/resolve.aspx?doi=10.4018/978-1-46660-092-8")</f>
        <v>http://services.igi-global.com/resolvedoi/resolve.aspx?doi=10.4018/978-1-46660-092-8</v>
      </c>
    </row>
    <row r="191" spans="1:14">
      <c r="A191" s="47">
        <v>190</v>
      </c>
      <c r="B191" s="47" t="s">
        <v>571</v>
      </c>
      <c r="C191" s="47" t="s">
        <v>1298</v>
      </c>
      <c r="D191" s="48" t="s">
        <v>505</v>
      </c>
      <c r="E191" s="48" t="s">
        <v>238</v>
      </c>
      <c r="F191" s="47" t="s">
        <v>239</v>
      </c>
      <c r="G191" s="47" t="s">
        <v>240</v>
      </c>
      <c r="H191" s="47" t="s">
        <v>241</v>
      </c>
      <c r="I191" s="47">
        <v>2</v>
      </c>
      <c r="J191" s="47">
        <v>1</v>
      </c>
      <c r="K191" s="47" t="s">
        <v>579</v>
      </c>
      <c r="L191" s="47" t="s">
        <v>569</v>
      </c>
      <c r="M191" s="47">
        <v>2012</v>
      </c>
      <c r="N191" s="33" t="str">
        <f>HYPERLINK("http://services.igi-global.com/resolvedoi/resolve.aspx?doi=10.4018/978-1-46660-149-9")</f>
        <v>http://services.igi-global.com/resolvedoi/resolve.aspx?doi=10.4018/978-1-46660-149-9</v>
      </c>
    </row>
    <row r="192" spans="1:14">
      <c r="A192" s="47">
        <v>191</v>
      </c>
      <c r="B192" s="47" t="s">
        <v>571</v>
      </c>
      <c r="C192" s="47" t="s">
        <v>1298</v>
      </c>
      <c r="D192" s="48" t="s">
        <v>493</v>
      </c>
      <c r="E192" s="48" t="s">
        <v>588</v>
      </c>
      <c r="F192" s="47" t="s">
        <v>589</v>
      </c>
      <c r="G192" s="47" t="s">
        <v>590</v>
      </c>
      <c r="H192" s="47" t="s">
        <v>591</v>
      </c>
      <c r="I192" s="47">
        <v>1</v>
      </c>
      <c r="J192" s="47">
        <v>1</v>
      </c>
      <c r="K192" s="47" t="s">
        <v>592</v>
      </c>
      <c r="L192" s="47" t="s">
        <v>569</v>
      </c>
      <c r="M192" s="47">
        <v>2012</v>
      </c>
      <c r="N192" s="33" t="str">
        <f>HYPERLINK("http://services.igi-global.com/resolvedoi/resolve.aspx?doi=10.4018/978-1-61350-432-1")</f>
        <v>http://services.igi-global.com/resolvedoi/resolve.aspx?doi=10.4018/978-1-61350-432-1</v>
      </c>
    </row>
    <row r="193" spans="1:14">
      <c r="A193" s="47">
        <v>192</v>
      </c>
      <c r="B193" s="47" t="s">
        <v>571</v>
      </c>
      <c r="C193" s="47" t="s">
        <v>1298</v>
      </c>
      <c r="D193" s="48" t="s">
        <v>1576</v>
      </c>
      <c r="E193" s="48" t="s">
        <v>1577</v>
      </c>
      <c r="F193" s="47" t="s">
        <v>1578</v>
      </c>
      <c r="G193" s="47" t="s">
        <v>1579</v>
      </c>
      <c r="H193" s="47" t="s">
        <v>1580</v>
      </c>
      <c r="I193" s="47">
        <v>1</v>
      </c>
      <c r="J193" s="47">
        <v>1</v>
      </c>
      <c r="K193" s="47" t="s">
        <v>1581</v>
      </c>
      <c r="L193" s="47" t="s">
        <v>569</v>
      </c>
      <c r="M193" s="47">
        <v>2012</v>
      </c>
      <c r="N193" s="33" t="str">
        <f>HYPERLINK("http://services.igi-global.com/resolvedoi/resolve.aspx?doi=10.4018/978-1-46660-912-9")</f>
        <v>http://services.igi-global.com/resolvedoi/resolve.aspx?doi=10.4018/978-1-46660-912-9</v>
      </c>
    </row>
    <row r="194" spans="1:14">
      <c r="A194" s="47">
        <v>193</v>
      </c>
      <c r="B194" s="47" t="s">
        <v>571</v>
      </c>
      <c r="C194" s="47" t="s">
        <v>1298</v>
      </c>
      <c r="D194" s="48" t="s">
        <v>1002</v>
      </c>
      <c r="E194" s="48" t="s">
        <v>1003</v>
      </c>
      <c r="F194" s="47" t="s">
        <v>1004</v>
      </c>
      <c r="G194" s="47" t="s">
        <v>1005</v>
      </c>
      <c r="H194" s="47" t="s">
        <v>1006</v>
      </c>
      <c r="I194" s="47">
        <v>1</v>
      </c>
      <c r="J194" s="47">
        <v>1</v>
      </c>
      <c r="K194" s="47" t="s">
        <v>1007</v>
      </c>
      <c r="L194" s="47" t="s">
        <v>569</v>
      </c>
      <c r="M194" s="47">
        <v>2012</v>
      </c>
      <c r="N194" s="33" t="str">
        <f>HYPERLINK("http://services.igi-global.com/resolvedoi/resolve.aspx?doi=10.4018/978-1-61350-104-7")</f>
        <v>http://services.igi-global.com/resolvedoi/resolve.aspx?doi=10.4018/978-1-61350-104-7</v>
      </c>
    </row>
    <row r="195" spans="1:14">
      <c r="A195" s="47">
        <v>194</v>
      </c>
      <c r="B195" s="47" t="s">
        <v>571</v>
      </c>
      <c r="C195" s="47" t="s">
        <v>1298</v>
      </c>
      <c r="D195" s="48" t="s">
        <v>115</v>
      </c>
      <c r="E195" s="48" t="s">
        <v>116</v>
      </c>
      <c r="F195" s="47" t="s">
        <v>117</v>
      </c>
      <c r="G195" s="47" t="s">
        <v>118</v>
      </c>
      <c r="H195" s="47" t="s">
        <v>119</v>
      </c>
      <c r="I195" s="47">
        <v>1</v>
      </c>
      <c r="J195" s="47">
        <v>1</v>
      </c>
      <c r="K195" s="47" t="s">
        <v>120</v>
      </c>
      <c r="L195" s="47" t="s">
        <v>569</v>
      </c>
      <c r="M195" s="47">
        <v>2012</v>
      </c>
      <c r="N195" s="33" t="str">
        <f>HYPERLINK("http://services.igi-global.com/resolvedoi/resolve.aspx?doi=10.4018/978-1-46660-285-4")</f>
        <v>http://services.igi-global.com/resolvedoi/resolve.aspx?doi=10.4018/978-1-46660-285-4</v>
      </c>
    </row>
    <row r="196" spans="1:14">
      <c r="A196" s="47">
        <v>195</v>
      </c>
      <c r="B196" s="47" t="s">
        <v>571</v>
      </c>
      <c r="C196" s="47" t="s">
        <v>1298</v>
      </c>
      <c r="D196" s="48" t="s">
        <v>565</v>
      </c>
      <c r="E196" s="48" t="s">
        <v>1299</v>
      </c>
      <c r="F196" s="47" t="s">
        <v>1300</v>
      </c>
      <c r="G196" s="47" t="s">
        <v>1301</v>
      </c>
      <c r="H196" s="47" t="s">
        <v>1302</v>
      </c>
      <c r="I196" s="47">
        <v>1</v>
      </c>
      <c r="J196" s="47">
        <v>1</v>
      </c>
      <c r="K196" s="47" t="s">
        <v>1303</v>
      </c>
      <c r="L196" s="47" t="s">
        <v>569</v>
      </c>
      <c r="M196" s="47">
        <v>2012</v>
      </c>
      <c r="N196" s="33" t="str">
        <f>HYPERLINK("http://services.igi-global.com/resolvedoi/resolve.aspx?doi=10.4018/978-1-46661-791-9")</f>
        <v>http://services.igi-global.com/resolvedoi/resolve.aspx?doi=10.4018/978-1-46661-791-9</v>
      </c>
    </row>
    <row r="197" spans="1:14">
      <c r="A197" s="47">
        <v>196</v>
      </c>
      <c r="B197" s="47" t="s">
        <v>571</v>
      </c>
      <c r="C197" s="47" t="s">
        <v>1298</v>
      </c>
      <c r="D197" s="48" t="s">
        <v>507</v>
      </c>
      <c r="E197" s="48" t="s">
        <v>431</v>
      </c>
      <c r="F197" s="47" t="s">
        <v>432</v>
      </c>
      <c r="G197" s="47" t="s">
        <v>433</v>
      </c>
      <c r="H197" s="47" t="s">
        <v>434</v>
      </c>
      <c r="I197" s="47">
        <v>1</v>
      </c>
      <c r="J197" s="47">
        <v>1</v>
      </c>
      <c r="K197" s="47" t="s">
        <v>552</v>
      </c>
      <c r="L197" s="47" t="s">
        <v>569</v>
      </c>
      <c r="M197" s="47">
        <v>2012</v>
      </c>
      <c r="N197" s="33" t="str">
        <f>HYPERLINK("http://services.igi-global.com/resolvedoi/resolve.aspx?doi=10.4018/978-1-46660-080-5")</f>
        <v>http://services.igi-global.com/resolvedoi/resolve.aspx?doi=10.4018/978-1-46660-080-5</v>
      </c>
    </row>
    <row r="198" spans="1:14">
      <c r="A198" s="47">
        <v>197</v>
      </c>
      <c r="B198" s="47" t="s">
        <v>571</v>
      </c>
      <c r="C198" s="47" t="s">
        <v>1298</v>
      </c>
      <c r="D198" s="48" t="s">
        <v>507</v>
      </c>
      <c r="E198" s="48" t="s">
        <v>777</v>
      </c>
      <c r="F198" s="47" t="s">
        <v>778</v>
      </c>
      <c r="G198" s="47" t="s">
        <v>779</v>
      </c>
      <c r="H198" s="47" t="s">
        <v>780</v>
      </c>
      <c r="I198" s="47">
        <v>1</v>
      </c>
      <c r="J198" s="47">
        <v>1</v>
      </c>
      <c r="K198" s="47" t="s">
        <v>548</v>
      </c>
      <c r="L198" s="47" t="s">
        <v>569</v>
      </c>
      <c r="M198" s="47">
        <v>2012</v>
      </c>
      <c r="N198" s="33" t="str">
        <f>HYPERLINK("http://services.igi-global.com/resolvedoi/resolve.aspx?doi=10.4018/978-1-61350-150-4")</f>
        <v>http://services.igi-global.com/resolvedoi/resolve.aspx?doi=10.4018/978-1-61350-150-4</v>
      </c>
    </row>
    <row r="199" spans="1:14">
      <c r="A199" s="47">
        <v>198</v>
      </c>
      <c r="B199" s="47" t="s">
        <v>571</v>
      </c>
      <c r="C199" s="47" t="s">
        <v>1298</v>
      </c>
      <c r="D199" s="48" t="s">
        <v>565</v>
      </c>
      <c r="E199" s="48" t="s">
        <v>352</v>
      </c>
      <c r="F199" s="47" t="s">
        <v>353</v>
      </c>
      <c r="G199" s="47" t="s">
        <v>354</v>
      </c>
      <c r="H199" s="47" t="s">
        <v>355</v>
      </c>
      <c r="I199" s="47">
        <v>1</v>
      </c>
      <c r="J199" s="47">
        <v>1</v>
      </c>
      <c r="K199" s="47" t="s">
        <v>1227</v>
      </c>
      <c r="L199" s="47" t="s">
        <v>569</v>
      </c>
      <c r="M199" s="47">
        <v>2012</v>
      </c>
      <c r="N199" s="33" t="str">
        <f>HYPERLINK("http://services.igi-global.com/resolvedoi/resolve.aspx?doi=10.4018/978-1-46660-023-2")</f>
        <v>http://services.igi-global.com/resolvedoi/resolve.aspx?doi=10.4018/978-1-46660-023-2</v>
      </c>
    </row>
    <row r="200" spans="1:14">
      <c r="A200" s="47">
        <v>199</v>
      </c>
      <c r="B200" s="47" t="s">
        <v>571</v>
      </c>
      <c r="C200" s="47" t="s">
        <v>1298</v>
      </c>
      <c r="D200" s="48" t="s">
        <v>565</v>
      </c>
      <c r="E200" s="48" t="s">
        <v>855</v>
      </c>
      <c r="F200" s="47" t="s">
        <v>856</v>
      </c>
      <c r="G200" s="47" t="s">
        <v>857</v>
      </c>
      <c r="H200" s="47" t="s">
        <v>858</v>
      </c>
      <c r="I200" s="47">
        <v>1</v>
      </c>
      <c r="J200" s="47">
        <v>1</v>
      </c>
      <c r="K200" s="47" t="s">
        <v>859</v>
      </c>
      <c r="L200" s="47" t="s">
        <v>569</v>
      </c>
      <c r="M200" s="47">
        <v>2012</v>
      </c>
      <c r="N200" s="33" t="str">
        <f>HYPERLINK("http://services.igi-global.com/resolvedoi/resolve.aspx?doi=10.4018/978-1-61350-144-3")</f>
        <v>http://services.igi-global.com/resolvedoi/resolve.aspx?doi=10.4018/978-1-61350-144-3</v>
      </c>
    </row>
    <row r="201" spans="1:14">
      <c r="A201" s="47">
        <v>200</v>
      </c>
      <c r="B201" s="47" t="s">
        <v>571</v>
      </c>
      <c r="C201" s="47" t="s">
        <v>1298</v>
      </c>
      <c r="D201" s="48" t="s">
        <v>530</v>
      </c>
      <c r="E201" s="48" t="s">
        <v>1304</v>
      </c>
      <c r="F201" s="47" t="s">
        <v>1305</v>
      </c>
      <c r="G201" s="47" t="s">
        <v>1306</v>
      </c>
      <c r="H201" s="47" t="s">
        <v>1307</v>
      </c>
      <c r="I201" s="47">
        <v>1</v>
      </c>
      <c r="J201" s="47">
        <v>1</v>
      </c>
      <c r="K201" s="47" t="s">
        <v>1308</v>
      </c>
      <c r="L201" s="47" t="s">
        <v>569</v>
      </c>
      <c r="M201" s="47">
        <v>2012</v>
      </c>
      <c r="N201" s="33" t="str">
        <f>HYPERLINK("http://services.igi-global.com/resolvedoi/resolve.aspx?doi=10.4018/978-1-46661-794-0")</f>
        <v>http://services.igi-global.com/resolvedoi/resolve.aspx?doi=10.4018/978-1-46661-794-0</v>
      </c>
    </row>
    <row r="202" spans="1:14">
      <c r="A202" s="47">
        <v>201</v>
      </c>
      <c r="B202" s="47" t="s">
        <v>571</v>
      </c>
      <c r="C202" s="47" t="s">
        <v>1298</v>
      </c>
      <c r="D202" s="48" t="s">
        <v>1309</v>
      </c>
      <c r="E202" s="48" t="s">
        <v>654</v>
      </c>
      <c r="F202" s="47" t="s">
        <v>655</v>
      </c>
      <c r="G202" s="47" t="s">
        <v>656</v>
      </c>
      <c r="H202" s="47" t="s">
        <v>657</v>
      </c>
      <c r="I202" s="47">
        <v>1</v>
      </c>
      <c r="J202" s="47">
        <v>1</v>
      </c>
      <c r="K202" s="47" t="s">
        <v>658</v>
      </c>
      <c r="L202" s="47" t="s">
        <v>569</v>
      </c>
      <c r="M202" s="47">
        <v>2012</v>
      </c>
      <c r="N202" s="33" t="str">
        <f>HYPERLINK("http://services.igi-global.com/resolvedoi/resolve.aspx?doi=10.4018/978-1-61350-477-2")</f>
        <v>http://services.igi-global.com/resolvedoi/resolve.aspx?doi=10.4018/978-1-61350-477-2</v>
      </c>
    </row>
    <row r="203" spans="1:14">
      <c r="A203" s="47">
        <v>202</v>
      </c>
      <c r="B203" s="47" t="s">
        <v>571</v>
      </c>
      <c r="C203" s="47" t="s">
        <v>1298</v>
      </c>
      <c r="D203" s="48" t="s">
        <v>414</v>
      </c>
      <c r="E203" s="48" t="s">
        <v>415</v>
      </c>
      <c r="F203" s="47" t="s">
        <v>416</v>
      </c>
      <c r="G203" s="47" t="s">
        <v>417</v>
      </c>
      <c r="H203" s="47" t="s">
        <v>418</v>
      </c>
      <c r="I203" s="47">
        <v>1</v>
      </c>
      <c r="J203" s="47">
        <v>1</v>
      </c>
      <c r="K203" s="47" t="s">
        <v>419</v>
      </c>
      <c r="L203" s="47" t="s">
        <v>569</v>
      </c>
      <c r="M203" s="47">
        <v>2012</v>
      </c>
      <c r="N203" s="33" t="str">
        <f>HYPERLINK("http://services.igi-global.com/resolvedoi/resolve.aspx?doi=10.4018/978-1-46660-071-3")</f>
        <v>http://services.igi-global.com/resolvedoi/resolve.aspx?doi=10.4018/978-1-46660-071-3</v>
      </c>
    </row>
    <row r="204" spans="1:14">
      <c r="A204" s="47">
        <v>203</v>
      </c>
      <c r="B204" s="47" t="s">
        <v>571</v>
      </c>
      <c r="C204" s="47" t="s">
        <v>1298</v>
      </c>
      <c r="D204" s="48" t="s">
        <v>500</v>
      </c>
      <c r="E204" s="48" t="s">
        <v>830</v>
      </c>
      <c r="F204" s="47" t="s">
        <v>831</v>
      </c>
      <c r="G204" s="47" t="s">
        <v>832</v>
      </c>
      <c r="H204" s="47" t="s">
        <v>833</v>
      </c>
      <c r="I204" s="47">
        <v>1</v>
      </c>
      <c r="J204" s="47">
        <v>1</v>
      </c>
      <c r="K204" s="47" t="s">
        <v>834</v>
      </c>
      <c r="L204" s="47" t="s">
        <v>569</v>
      </c>
      <c r="M204" s="47">
        <v>2012</v>
      </c>
      <c r="N204" s="33" t="str">
        <f>HYPERLINK("http://services.igi-global.com/resolvedoi/resolve.aspx?doi=10.4018/978-1-60960-881-1")</f>
        <v>http://services.igi-global.com/resolvedoi/resolve.aspx?doi=10.4018/978-1-60960-881-1</v>
      </c>
    </row>
    <row r="205" spans="1:14">
      <c r="A205" s="47">
        <v>204</v>
      </c>
      <c r="B205" s="47" t="s">
        <v>571</v>
      </c>
      <c r="C205" s="47" t="s">
        <v>1298</v>
      </c>
      <c r="D205" s="48" t="s">
        <v>529</v>
      </c>
      <c r="E205" s="48" t="s">
        <v>384</v>
      </c>
      <c r="F205" s="47" t="s">
        <v>385</v>
      </c>
      <c r="G205" s="47" t="s">
        <v>386</v>
      </c>
      <c r="H205" s="47" t="s">
        <v>387</v>
      </c>
      <c r="I205" s="47">
        <v>1</v>
      </c>
      <c r="J205" s="47">
        <v>1</v>
      </c>
      <c r="K205" s="47" t="s">
        <v>388</v>
      </c>
      <c r="L205" s="47" t="s">
        <v>569</v>
      </c>
      <c r="M205" s="47">
        <v>2012</v>
      </c>
      <c r="N205" s="33" t="str">
        <f>HYPERLINK("http://services.igi-global.com/resolvedoi/resolve.aspx?doi=10.4018/978-1-46660-050-8")</f>
        <v>http://services.igi-global.com/resolvedoi/resolve.aspx?doi=10.4018/978-1-46660-050-8</v>
      </c>
    </row>
    <row r="206" spans="1:14">
      <c r="A206" s="47">
        <v>205</v>
      </c>
      <c r="B206" s="47" t="s">
        <v>571</v>
      </c>
      <c r="C206" s="47" t="s">
        <v>1298</v>
      </c>
      <c r="D206" s="48" t="s">
        <v>527</v>
      </c>
      <c r="E206" s="48" t="s">
        <v>485</v>
      </c>
      <c r="F206" s="47" t="s">
        <v>486</v>
      </c>
      <c r="G206" s="47" t="s">
        <v>487</v>
      </c>
      <c r="H206" s="47" t="s">
        <v>581</v>
      </c>
      <c r="I206" s="47">
        <v>1</v>
      </c>
      <c r="J206" s="47">
        <v>1</v>
      </c>
      <c r="K206" s="47" t="s">
        <v>582</v>
      </c>
      <c r="L206" s="47" t="s">
        <v>569</v>
      </c>
      <c r="M206" s="47">
        <v>2012</v>
      </c>
      <c r="N206" s="33" t="str">
        <f>HYPERLINK("http://services.igi-global.com/resolvedoi/resolve.aspx?doi=10.4018/978-1-61350-426-0")</f>
        <v>http://services.igi-global.com/resolvedoi/resolve.aspx?doi=10.4018/978-1-61350-426-0</v>
      </c>
    </row>
    <row r="207" spans="1:14">
      <c r="A207" s="47">
        <v>206</v>
      </c>
      <c r="B207" s="47" t="s">
        <v>571</v>
      </c>
      <c r="C207" s="47" t="s">
        <v>1298</v>
      </c>
      <c r="D207" s="48" t="s">
        <v>1545</v>
      </c>
      <c r="E207" s="48" t="s">
        <v>299</v>
      </c>
      <c r="F207" s="47" t="s">
        <v>300</v>
      </c>
      <c r="G207" s="47" t="s">
        <v>301</v>
      </c>
      <c r="H207" s="47" t="s">
        <v>302</v>
      </c>
      <c r="I207" s="47">
        <v>1</v>
      </c>
      <c r="J207" s="47">
        <v>1</v>
      </c>
      <c r="K207" s="47" t="s">
        <v>303</v>
      </c>
      <c r="L207" s="47" t="s">
        <v>569</v>
      </c>
      <c r="M207" s="47">
        <v>2012</v>
      </c>
      <c r="N207" s="33" t="str">
        <f>HYPERLINK("http://services.igi-global.com/resolvedoi/resolve.aspx?doi=10.4018/978-1-46660-185-7")</f>
        <v>http://services.igi-global.com/resolvedoi/resolve.aspx?doi=10.4018/978-1-46660-185-7</v>
      </c>
    </row>
    <row r="208" spans="1:14">
      <c r="A208" s="47">
        <v>207</v>
      </c>
      <c r="B208" s="47" t="s">
        <v>571</v>
      </c>
      <c r="C208" s="47" t="s">
        <v>1298</v>
      </c>
      <c r="D208" s="48" t="s">
        <v>310</v>
      </c>
      <c r="E208" s="48" t="s">
        <v>311</v>
      </c>
      <c r="F208" s="47" t="s">
        <v>312</v>
      </c>
      <c r="G208" s="47" t="s">
        <v>313</v>
      </c>
      <c r="H208" s="47" t="s">
        <v>314</v>
      </c>
      <c r="I208" s="47">
        <v>1</v>
      </c>
      <c r="J208" s="47">
        <v>1</v>
      </c>
      <c r="K208" s="47" t="s">
        <v>315</v>
      </c>
      <c r="L208" s="47" t="s">
        <v>569</v>
      </c>
      <c r="M208" s="47">
        <v>2012</v>
      </c>
      <c r="N208" s="33" t="str">
        <f>HYPERLINK("http://services.igi-global.com/resolvedoi/resolve.aspx?doi=10.4018/978-1-46660-191-8")</f>
        <v>http://services.igi-global.com/resolvedoi/resolve.aspx?doi=10.4018/978-1-46660-191-8</v>
      </c>
    </row>
    <row r="209" spans="1:14">
      <c r="A209" s="47">
        <v>208</v>
      </c>
      <c r="B209" s="47" t="s">
        <v>571</v>
      </c>
      <c r="C209" s="47" t="s">
        <v>1298</v>
      </c>
      <c r="D209" s="48" t="s">
        <v>530</v>
      </c>
      <c r="E209" s="48" t="s">
        <v>1441</v>
      </c>
      <c r="F209" s="47" t="s">
        <v>1442</v>
      </c>
      <c r="G209" s="47" t="s">
        <v>1443</v>
      </c>
      <c r="H209" s="47" t="s">
        <v>1444</v>
      </c>
      <c r="I209" s="47">
        <v>1</v>
      </c>
      <c r="J209" s="47">
        <v>1</v>
      </c>
      <c r="K209" s="47" t="s">
        <v>1445</v>
      </c>
      <c r="L209" s="47" t="s">
        <v>569</v>
      </c>
      <c r="M209" s="47">
        <v>2012</v>
      </c>
      <c r="N209" s="33" t="str">
        <f>HYPERLINK("http://services.igi-global.com/resolvedoi/resolve.aspx?doi=10.4018/978-1-46661-613-4")</f>
        <v>http://services.igi-global.com/resolvedoi/resolve.aspx?doi=10.4018/978-1-46661-613-4</v>
      </c>
    </row>
    <row r="210" spans="1:14">
      <c r="A210" s="47">
        <v>209</v>
      </c>
      <c r="B210" s="47" t="s">
        <v>571</v>
      </c>
      <c r="C210" s="47" t="s">
        <v>1298</v>
      </c>
      <c r="D210" s="48" t="s">
        <v>1309</v>
      </c>
      <c r="E210" s="48" t="s">
        <v>173</v>
      </c>
      <c r="F210" s="47" t="s">
        <v>174</v>
      </c>
      <c r="G210" s="47" t="s">
        <v>175</v>
      </c>
      <c r="H210" s="47" t="s">
        <v>176</v>
      </c>
      <c r="I210" s="47">
        <v>1</v>
      </c>
      <c r="J210" s="47">
        <v>1</v>
      </c>
      <c r="K210" s="47" t="s">
        <v>177</v>
      </c>
      <c r="L210" s="47" t="s">
        <v>569</v>
      </c>
      <c r="M210" s="47">
        <v>2012</v>
      </c>
      <c r="N210" s="33" t="str">
        <f>HYPERLINK("http://services.igi-global.com/resolvedoi/resolve.aspx?doi=10.4018/978-1-46660-321-9")</f>
        <v>http://services.igi-global.com/resolvedoi/resolve.aspx?doi=10.4018/978-1-46660-321-9</v>
      </c>
    </row>
    <row r="211" spans="1:14">
      <c r="A211" s="47">
        <v>210</v>
      </c>
      <c r="B211" s="47" t="s">
        <v>571</v>
      </c>
      <c r="C211" s="47" t="s">
        <v>1298</v>
      </c>
      <c r="D211" s="48" t="s">
        <v>1309</v>
      </c>
      <c r="E211" s="48" t="s">
        <v>325</v>
      </c>
      <c r="F211" s="47" t="s">
        <v>326</v>
      </c>
      <c r="G211" s="47" t="s">
        <v>327</v>
      </c>
      <c r="H211" s="47" t="s">
        <v>328</v>
      </c>
      <c r="I211" s="47">
        <v>1</v>
      </c>
      <c r="J211" s="47">
        <v>1</v>
      </c>
      <c r="K211" s="47" t="s">
        <v>329</v>
      </c>
      <c r="L211" s="47" t="s">
        <v>569</v>
      </c>
      <c r="M211" s="47">
        <v>2012</v>
      </c>
      <c r="N211" s="33" t="str">
        <f>HYPERLINK("http://services.igi-global.com/resolvedoi/resolve.aspx?doi=10.4018/978-1-46660-203-8")</f>
        <v>http://services.igi-global.com/resolvedoi/resolve.aspx?doi=10.4018/978-1-46660-203-8</v>
      </c>
    </row>
    <row r="212" spans="1:14">
      <c r="A212" s="47">
        <v>211</v>
      </c>
      <c r="B212" s="47" t="s">
        <v>571</v>
      </c>
      <c r="C212" s="47" t="s">
        <v>1298</v>
      </c>
      <c r="D212" s="48" t="s">
        <v>565</v>
      </c>
      <c r="E212" s="48" t="s">
        <v>933</v>
      </c>
      <c r="F212" s="47" t="s">
        <v>934</v>
      </c>
      <c r="G212" s="47" t="s">
        <v>935</v>
      </c>
      <c r="H212" s="47" t="s">
        <v>936</v>
      </c>
      <c r="I212" s="47">
        <v>1</v>
      </c>
      <c r="J212" s="47">
        <v>1</v>
      </c>
      <c r="K212" s="47" t="s">
        <v>937</v>
      </c>
      <c r="L212" s="47" t="s">
        <v>569</v>
      </c>
      <c r="M212" s="47">
        <v>2012</v>
      </c>
      <c r="N212" s="33" t="str">
        <f>HYPERLINK("http://services.igi-global.com/resolvedoi/resolve.aspx?doi=10.4018/978-1-61350-107-8")</f>
        <v>http://services.igi-global.com/resolvedoi/resolve.aspx?doi=10.4018/978-1-61350-107-8</v>
      </c>
    </row>
    <row r="213" spans="1:14">
      <c r="A213" s="47">
        <v>212</v>
      </c>
      <c r="B213" s="47" t="s">
        <v>571</v>
      </c>
      <c r="C213" s="47" t="s">
        <v>1298</v>
      </c>
      <c r="D213" s="48" t="s">
        <v>512</v>
      </c>
      <c r="E213" s="48" t="s">
        <v>1336</v>
      </c>
      <c r="F213" s="47" t="s">
        <v>1337</v>
      </c>
      <c r="G213" s="47" t="s">
        <v>1338</v>
      </c>
      <c r="H213" s="47" t="s">
        <v>1339</v>
      </c>
      <c r="I213" s="47">
        <v>1</v>
      </c>
      <c r="J213" s="47">
        <v>1</v>
      </c>
      <c r="K213" s="47" t="s">
        <v>1340</v>
      </c>
      <c r="L213" s="47" t="s">
        <v>569</v>
      </c>
      <c r="M213" s="47">
        <v>2012</v>
      </c>
      <c r="N213" s="33" t="str">
        <f>HYPERLINK("http://services.igi-global.com/resolvedoi/resolve.aspx?doi=10.4018/978-1-46661-827-5")</f>
        <v>http://services.igi-global.com/resolvedoi/resolve.aspx?doi=10.4018/978-1-46661-827-5</v>
      </c>
    </row>
    <row r="214" spans="1:14">
      <c r="A214" s="47">
        <v>213</v>
      </c>
      <c r="B214" s="47" t="s">
        <v>571</v>
      </c>
      <c r="C214" s="47" t="s">
        <v>1298</v>
      </c>
      <c r="D214" s="48" t="s">
        <v>802</v>
      </c>
      <c r="E214" s="48" t="s">
        <v>803</v>
      </c>
      <c r="F214" s="47" t="s">
        <v>804</v>
      </c>
      <c r="G214" s="47" t="s">
        <v>805</v>
      </c>
      <c r="H214" s="47" t="s">
        <v>806</v>
      </c>
      <c r="I214" s="47">
        <v>1</v>
      </c>
      <c r="J214" s="47">
        <v>1</v>
      </c>
      <c r="K214" s="47" t="s">
        <v>807</v>
      </c>
      <c r="L214" s="47" t="s">
        <v>569</v>
      </c>
      <c r="M214" s="47">
        <v>2012</v>
      </c>
      <c r="N214" s="33" t="str">
        <f>HYPERLINK("http://services.igi-global.com/resolvedoi/resolve.aspx?doi=10.4018/978-1-61350-147-4")</f>
        <v>http://services.igi-global.com/resolvedoi/resolve.aspx?doi=10.4018/978-1-61350-147-4</v>
      </c>
    </row>
    <row r="215" spans="1:14">
      <c r="A215" s="47">
        <v>214</v>
      </c>
      <c r="B215" s="47" t="s">
        <v>571</v>
      </c>
      <c r="C215" s="47" t="s">
        <v>1298</v>
      </c>
      <c r="D215" s="48" t="s">
        <v>19</v>
      </c>
      <c r="E215" s="48" t="s">
        <v>20</v>
      </c>
      <c r="F215" s="47" t="s">
        <v>21</v>
      </c>
      <c r="G215" s="47" t="s">
        <v>22</v>
      </c>
      <c r="H215" s="47" t="s">
        <v>23</v>
      </c>
      <c r="I215" s="47">
        <v>1</v>
      </c>
      <c r="J215" s="47">
        <v>1</v>
      </c>
      <c r="K215" s="47" t="s">
        <v>24</v>
      </c>
      <c r="L215" s="47" t="s">
        <v>569</v>
      </c>
      <c r="M215" s="47">
        <v>2012</v>
      </c>
      <c r="N215" s="33" t="str">
        <f>HYPERLINK("http://services.igi-global.com/resolvedoi/resolve.aspx?doi=10.4018/978-1-46660-960-0")</f>
        <v>http://services.igi-global.com/resolvedoi/resolve.aspx?doi=10.4018/978-1-46660-960-0</v>
      </c>
    </row>
    <row r="216" spans="1:14">
      <c r="A216" s="47">
        <v>215</v>
      </c>
      <c r="B216" s="47" t="s">
        <v>571</v>
      </c>
      <c r="C216" s="47" t="s">
        <v>1298</v>
      </c>
      <c r="D216" s="48" t="s">
        <v>532</v>
      </c>
      <c r="E216" s="48" t="s">
        <v>907</v>
      </c>
      <c r="F216" s="47" t="s">
        <v>908</v>
      </c>
      <c r="G216" s="47" t="s">
        <v>909</v>
      </c>
      <c r="H216" s="47" t="s">
        <v>910</v>
      </c>
      <c r="I216" s="47">
        <v>1</v>
      </c>
      <c r="J216" s="47">
        <v>1</v>
      </c>
      <c r="K216" s="47" t="s">
        <v>911</v>
      </c>
      <c r="L216" s="47" t="s">
        <v>569</v>
      </c>
      <c r="M216" s="47">
        <v>2012</v>
      </c>
      <c r="N216" s="33" t="str">
        <f>HYPERLINK("http://services.igi-global.com/resolvedoi/resolve.aspx?doi=10.4018/978-1-61350-153-5")</f>
        <v>http://services.igi-global.com/resolvedoi/resolve.aspx?doi=10.4018/978-1-61350-153-5</v>
      </c>
    </row>
    <row r="217" spans="1:14">
      <c r="A217" s="47">
        <v>216</v>
      </c>
      <c r="B217" s="47" t="s">
        <v>571</v>
      </c>
      <c r="C217" s="47" t="s">
        <v>1298</v>
      </c>
      <c r="D217" s="48" t="s">
        <v>346</v>
      </c>
      <c r="E217" s="48" t="s">
        <v>347</v>
      </c>
      <c r="F217" s="47" t="s">
        <v>348</v>
      </c>
      <c r="G217" s="47" t="s">
        <v>349</v>
      </c>
      <c r="H217" s="47" t="s">
        <v>350</v>
      </c>
      <c r="I217" s="47">
        <v>1</v>
      </c>
      <c r="J217" s="47">
        <v>1</v>
      </c>
      <c r="K217" s="47" t="s">
        <v>351</v>
      </c>
      <c r="L217" s="47" t="s">
        <v>569</v>
      </c>
      <c r="M217" s="47">
        <v>2012</v>
      </c>
      <c r="N217" s="33" t="str">
        <f>HYPERLINK("http://services.igi-global.com/resolvedoi/resolve.aspx?doi=10.4018/978-1-46660-017-1")</f>
        <v>http://services.igi-global.com/resolvedoi/resolve.aspx?doi=10.4018/978-1-46660-017-1</v>
      </c>
    </row>
    <row r="218" spans="1:14">
      <c r="A218" s="47">
        <v>217</v>
      </c>
      <c r="B218" s="47" t="s">
        <v>571</v>
      </c>
      <c r="C218" s="47" t="s">
        <v>1298</v>
      </c>
      <c r="D218" s="48" t="s">
        <v>532</v>
      </c>
      <c r="E218" s="48" t="s">
        <v>463</v>
      </c>
      <c r="F218" s="47" t="s">
        <v>464</v>
      </c>
      <c r="G218" s="47" t="s">
        <v>465</v>
      </c>
      <c r="H218" s="47" t="s">
        <v>466</v>
      </c>
      <c r="I218" s="47">
        <v>1</v>
      </c>
      <c r="J218" s="47">
        <v>1</v>
      </c>
      <c r="K218" s="47" t="s">
        <v>467</v>
      </c>
      <c r="L218" s="47" t="s">
        <v>569</v>
      </c>
      <c r="M218" s="47">
        <v>2012</v>
      </c>
      <c r="N218" s="33" t="str">
        <f>HYPERLINK("http://services.igi-global.com/resolvedoi/resolve.aspx?doi=10.4018/978-1-46660-101-7")</f>
        <v>http://services.igi-global.com/resolvedoi/resolve.aspx?doi=10.4018/978-1-46660-101-7</v>
      </c>
    </row>
    <row r="219" spans="1:14">
      <c r="A219" s="47">
        <v>218</v>
      </c>
      <c r="B219" s="47" t="s">
        <v>571</v>
      </c>
      <c r="C219" s="47" t="s">
        <v>1298</v>
      </c>
      <c r="D219" s="48" t="s">
        <v>330</v>
      </c>
      <c r="E219" s="48" t="s">
        <v>331</v>
      </c>
      <c r="F219" s="47" t="s">
        <v>332</v>
      </c>
      <c r="G219" s="47" t="s">
        <v>333</v>
      </c>
      <c r="H219" s="47" t="s">
        <v>334</v>
      </c>
      <c r="I219" s="47">
        <v>1</v>
      </c>
      <c r="J219" s="47">
        <v>1</v>
      </c>
      <c r="K219" s="47" t="s">
        <v>536</v>
      </c>
      <c r="L219" s="47" t="s">
        <v>569</v>
      </c>
      <c r="M219" s="47">
        <v>2012</v>
      </c>
      <c r="N219" s="33" t="str">
        <f>HYPERLINK("http://services.igi-global.com/resolvedoi/resolve.aspx?doi=10.4018/978-1-46660-209-0")</f>
        <v>http://services.igi-global.com/resolvedoi/resolve.aspx?doi=10.4018/978-1-46660-209-0</v>
      </c>
    </row>
    <row r="220" spans="1:14">
      <c r="A220" s="47">
        <v>219</v>
      </c>
      <c r="B220" s="47" t="s">
        <v>571</v>
      </c>
      <c r="C220" s="47" t="s">
        <v>1298</v>
      </c>
      <c r="D220" s="48" t="s">
        <v>528</v>
      </c>
      <c r="E220" s="48" t="s">
        <v>998</v>
      </c>
      <c r="F220" s="47" t="s">
        <v>999</v>
      </c>
      <c r="G220" s="47" t="s">
        <v>1000</v>
      </c>
      <c r="H220" s="47" t="s">
        <v>1001</v>
      </c>
      <c r="I220" s="47">
        <v>3</v>
      </c>
      <c r="J220" s="47">
        <v>1</v>
      </c>
      <c r="K220" s="47" t="s">
        <v>1424</v>
      </c>
      <c r="L220" s="47" t="s">
        <v>569</v>
      </c>
      <c r="M220" s="47">
        <v>2012</v>
      </c>
      <c r="N220" s="33" t="str">
        <f>HYPERLINK("http://services.igi-global.com/resolvedoi/resolve.aspx?doi=10.4018/978-1-61350-101-6")</f>
        <v>http://services.igi-global.com/resolvedoi/resolve.aspx?doi=10.4018/978-1-61350-101-6</v>
      </c>
    </row>
    <row r="221" spans="1:14">
      <c r="A221" s="47">
        <v>220</v>
      </c>
      <c r="B221" s="47" t="s">
        <v>571</v>
      </c>
      <c r="C221" s="47" t="s">
        <v>1298</v>
      </c>
      <c r="D221" s="48" t="s">
        <v>1002</v>
      </c>
      <c r="E221" s="48" t="s">
        <v>1054</v>
      </c>
      <c r="F221" s="47" t="s">
        <v>1055</v>
      </c>
      <c r="G221" s="47" t="s">
        <v>1056</v>
      </c>
      <c r="H221" s="47" t="s">
        <v>1057</v>
      </c>
      <c r="I221" s="47">
        <v>1</v>
      </c>
      <c r="J221" s="47">
        <v>1</v>
      </c>
      <c r="K221" s="47" t="s">
        <v>1058</v>
      </c>
      <c r="L221" s="47" t="s">
        <v>569</v>
      </c>
      <c r="M221" s="47">
        <v>2011</v>
      </c>
      <c r="N221" s="33" t="str">
        <f>HYPERLINK("http://services.igi-global.com/resolvedoi/resolve.aspx?doi=10.4018/978-1-60960-011-2")</f>
        <v>http://services.igi-global.com/resolvedoi/resolve.aspx?doi=10.4018/978-1-60960-011-2</v>
      </c>
    </row>
    <row r="222" spans="1:14">
      <c r="A222" s="47">
        <v>221</v>
      </c>
      <c r="B222" s="47" t="s">
        <v>571</v>
      </c>
      <c r="C222" s="47" t="s">
        <v>1298</v>
      </c>
      <c r="D222" s="48" t="s">
        <v>1080</v>
      </c>
      <c r="E222" s="48" t="s">
        <v>1081</v>
      </c>
      <c r="F222" s="47" t="s">
        <v>1082</v>
      </c>
      <c r="G222" s="47" t="s">
        <v>1083</v>
      </c>
      <c r="H222" s="47" t="s">
        <v>1084</v>
      </c>
      <c r="I222" s="47">
        <v>1</v>
      </c>
      <c r="J222" s="47">
        <v>1</v>
      </c>
      <c r="K222" s="47" t="s">
        <v>1085</v>
      </c>
      <c r="L222" s="47" t="s">
        <v>569</v>
      </c>
      <c r="M222" s="47">
        <v>2010</v>
      </c>
      <c r="N222" s="33" t="str">
        <f>HYPERLINK("http://services.igi-global.com/resolvedoi/resolve.aspx?doi=10.4018/978-1-61520-913-2")</f>
        <v>http://services.igi-global.com/resolvedoi/resolve.aspx?doi=10.4018/978-1-61520-913-2</v>
      </c>
    </row>
    <row r="223" spans="1:14">
      <c r="A223" s="47">
        <v>222</v>
      </c>
      <c r="B223" s="47" t="s">
        <v>571</v>
      </c>
      <c r="C223" s="47" t="s">
        <v>1298</v>
      </c>
      <c r="D223" s="48" t="s">
        <v>1086</v>
      </c>
      <c r="E223" s="48" t="s">
        <v>1087</v>
      </c>
      <c r="F223" s="47" t="s">
        <v>1088</v>
      </c>
      <c r="G223" s="47" t="s">
        <v>1089</v>
      </c>
      <c r="H223" s="47" t="s">
        <v>1090</v>
      </c>
      <c r="I223" s="47">
        <v>1</v>
      </c>
      <c r="J223" s="47">
        <v>1</v>
      </c>
      <c r="K223" s="47" t="s">
        <v>1091</v>
      </c>
      <c r="L223" s="47" t="s">
        <v>569</v>
      </c>
      <c r="M223" s="47">
        <v>2010</v>
      </c>
      <c r="N223" s="33" t="str">
        <f>HYPERLINK("http://services.igi-global.com/resolvedoi/resolve.aspx?doi=10.4018/978-1-61520-781-7")</f>
        <v>http://services.igi-global.com/resolvedoi/resolve.aspx?doi=10.4018/978-1-61520-781-7</v>
      </c>
    </row>
    <row r="224" spans="1:14">
      <c r="A224" s="47">
        <v>223</v>
      </c>
      <c r="B224" s="47" t="s">
        <v>571</v>
      </c>
      <c r="C224" s="47" t="s">
        <v>1298</v>
      </c>
      <c r="D224" s="48" t="s">
        <v>528</v>
      </c>
      <c r="E224" s="48" t="s">
        <v>1143</v>
      </c>
      <c r="F224" s="47" t="s">
        <v>1144</v>
      </c>
      <c r="G224" s="47" t="s">
        <v>1145</v>
      </c>
      <c r="H224" s="47" t="s">
        <v>1146</v>
      </c>
      <c r="I224" s="47">
        <v>1</v>
      </c>
      <c r="J224" s="47">
        <v>1</v>
      </c>
      <c r="K224" s="47" t="s">
        <v>1117</v>
      </c>
      <c r="L224" s="47" t="s">
        <v>569</v>
      </c>
      <c r="M224" s="47">
        <v>2010</v>
      </c>
      <c r="N224" s="33" t="str">
        <f>HYPERLINK("http://services.igi-global.com/resolvedoi/resolve.aspx?doi=10.4018/978-1-61520-674-2")</f>
        <v>http://services.igi-global.com/resolvedoi/resolve.aspx?doi=10.4018/978-1-61520-674-2</v>
      </c>
    </row>
    <row r="225" spans="1:14">
      <c r="A225" s="47">
        <v>224</v>
      </c>
      <c r="B225" s="47" t="s">
        <v>571</v>
      </c>
      <c r="C225" s="47" t="s">
        <v>1298</v>
      </c>
      <c r="D225" s="48" t="s">
        <v>1133</v>
      </c>
      <c r="E225" s="48" t="s">
        <v>1134</v>
      </c>
      <c r="F225" s="47" t="s">
        <v>1135</v>
      </c>
      <c r="G225" s="47" t="s">
        <v>1136</v>
      </c>
      <c r="H225" s="47" t="s">
        <v>1137</v>
      </c>
      <c r="I225" s="47">
        <v>3</v>
      </c>
      <c r="J225" s="47">
        <v>1</v>
      </c>
      <c r="K225" s="47" t="s">
        <v>1424</v>
      </c>
      <c r="L225" s="47" t="s">
        <v>569</v>
      </c>
      <c r="M225" s="47">
        <v>2010</v>
      </c>
      <c r="N225" s="33" t="str">
        <f>HYPERLINK("http://services.igi-global.com/resolvedoi/resolve.aspx?doi=10.4018/978-1-60566-986-1")</f>
        <v>http://services.igi-global.com/resolvedoi/resolve.aspx?doi=10.4018/978-1-60566-986-1</v>
      </c>
    </row>
    <row r="226" spans="1:14">
      <c r="A226" s="47">
        <v>225</v>
      </c>
      <c r="B226" s="47" t="s">
        <v>571</v>
      </c>
      <c r="C226" s="47" t="s">
        <v>1298</v>
      </c>
      <c r="D226" s="48" t="s">
        <v>525</v>
      </c>
      <c r="E226" s="48" t="s">
        <v>1113</v>
      </c>
      <c r="F226" s="47" t="s">
        <v>1114</v>
      </c>
      <c r="G226" s="47" t="s">
        <v>1115</v>
      </c>
      <c r="H226" s="47" t="s">
        <v>1116</v>
      </c>
      <c r="I226" s="47">
        <v>1</v>
      </c>
      <c r="J226" s="47">
        <v>1</v>
      </c>
      <c r="K226" s="47" t="s">
        <v>1117</v>
      </c>
      <c r="L226" s="47" t="s">
        <v>569</v>
      </c>
      <c r="M226" s="47">
        <v>2010</v>
      </c>
      <c r="N226" s="33" t="str">
        <f>HYPERLINK("http://services.igi-global.com/resolvedoi/resolve.aspx?doi=10.4018/978-1-61520-680-3")</f>
        <v>http://services.igi-global.com/resolvedoi/resolve.aspx?doi=10.4018/978-1-61520-680-3</v>
      </c>
    </row>
    <row r="227" spans="1:14">
      <c r="A227" s="47">
        <v>226</v>
      </c>
      <c r="B227" s="47" t="s">
        <v>571</v>
      </c>
      <c r="C227" s="47" t="s">
        <v>1282</v>
      </c>
      <c r="D227" s="48" t="s">
        <v>513</v>
      </c>
      <c r="E227" s="48" t="s">
        <v>1510</v>
      </c>
      <c r="F227" s="47" t="s">
        <v>1511</v>
      </c>
      <c r="G227" s="47" t="s">
        <v>1512</v>
      </c>
      <c r="H227" s="47" t="s">
        <v>1513</v>
      </c>
      <c r="I227" s="47">
        <v>1</v>
      </c>
      <c r="J227" s="47">
        <v>1</v>
      </c>
      <c r="K227" s="47" t="s">
        <v>1514</v>
      </c>
      <c r="L227" s="47" t="s">
        <v>569</v>
      </c>
      <c r="M227" s="47">
        <v>2012</v>
      </c>
      <c r="N227" s="33" t="str">
        <f>HYPERLINK("http://services.igi-global.com/resolvedoi/resolve.aspx?doi=10.4018/978-1-46661-649-3")</f>
        <v>http://services.igi-global.com/resolvedoi/resolve.aspx?doi=10.4018/978-1-46661-649-3</v>
      </c>
    </row>
    <row r="228" spans="1:14">
      <c r="A228" s="47">
        <v>227</v>
      </c>
      <c r="B228" s="47" t="s">
        <v>571</v>
      </c>
      <c r="C228" s="47" t="s">
        <v>1282</v>
      </c>
      <c r="D228" s="48" t="s">
        <v>871</v>
      </c>
      <c r="E228" s="48" t="s">
        <v>872</v>
      </c>
      <c r="F228" s="47" t="s">
        <v>873</v>
      </c>
      <c r="G228" s="47" t="s">
        <v>874</v>
      </c>
      <c r="H228" s="47" t="s">
        <v>875</v>
      </c>
      <c r="I228" s="47">
        <v>1</v>
      </c>
      <c r="J228" s="47">
        <v>1</v>
      </c>
      <c r="K228" s="47" t="s">
        <v>876</v>
      </c>
      <c r="L228" s="47" t="s">
        <v>569</v>
      </c>
      <c r="M228" s="47">
        <v>2012</v>
      </c>
      <c r="N228" s="33" t="str">
        <f>HYPERLINK("http://services.igi-global.com/resolvedoi/resolve.aspx?doi=10.4018/978-1-61350-129-0")</f>
        <v>http://services.igi-global.com/resolvedoi/resolve.aspx?doi=10.4018/978-1-61350-129-0</v>
      </c>
    </row>
    <row r="229" spans="1:14">
      <c r="A229" s="47">
        <v>228</v>
      </c>
      <c r="B229" s="47" t="s">
        <v>571</v>
      </c>
      <c r="C229" s="47" t="s">
        <v>1282</v>
      </c>
      <c r="D229" s="48" t="s">
        <v>513</v>
      </c>
      <c r="E229" s="48" t="s">
        <v>670</v>
      </c>
      <c r="F229" s="47" t="s">
        <v>671</v>
      </c>
      <c r="G229" s="47" t="s">
        <v>672</v>
      </c>
      <c r="H229" s="47" t="s">
        <v>673</v>
      </c>
      <c r="I229" s="47">
        <v>1</v>
      </c>
      <c r="J229" s="47">
        <v>1</v>
      </c>
      <c r="K229" s="47" t="s">
        <v>674</v>
      </c>
      <c r="L229" s="47" t="s">
        <v>569</v>
      </c>
      <c r="M229" s="47">
        <v>2012</v>
      </c>
      <c r="N229" s="33" t="str">
        <f>HYPERLINK("http://services.igi-global.com/resolvedoi/resolve.aspx?doi=10.4018/978-1-61350-498-7")</f>
        <v>http://services.igi-global.com/resolvedoi/resolve.aspx?doi=10.4018/978-1-61350-498-7</v>
      </c>
    </row>
    <row r="230" spans="1:14">
      <c r="A230" s="47">
        <v>229</v>
      </c>
      <c r="B230" s="47" t="s">
        <v>571</v>
      </c>
      <c r="C230" s="47" t="s">
        <v>1282</v>
      </c>
      <c r="D230" s="48" t="s">
        <v>1283</v>
      </c>
      <c r="E230" s="48" t="s">
        <v>1284</v>
      </c>
      <c r="F230" s="47" t="s">
        <v>1285</v>
      </c>
      <c r="G230" s="47" t="s">
        <v>1286</v>
      </c>
      <c r="H230" s="47" t="s">
        <v>1287</v>
      </c>
      <c r="I230" s="47">
        <v>1</v>
      </c>
      <c r="J230" s="47">
        <v>1</v>
      </c>
      <c r="K230" s="47" t="s">
        <v>556</v>
      </c>
      <c r="L230" s="47" t="s">
        <v>569</v>
      </c>
      <c r="M230" s="47">
        <v>2012</v>
      </c>
      <c r="N230" s="33" t="str">
        <f>HYPERLINK("http://services.igi-global.com/resolvedoi/resolve.aspx?doi=10.4018/978-1-46661-773-5")</f>
        <v>http://services.igi-global.com/resolvedoi/resolve.aspx?doi=10.4018/978-1-46661-773-5</v>
      </c>
    </row>
    <row r="231" spans="1:14">
      <c r="A231" s="47">
        <v>230</v>
      </c>
      <c r="B231" s="47" t="s">
        <v>571</v>
      </c>
      <c r="C231" s="47" t="s">
        <v>1282</v>
      </c>
      <c r="D231" s="48" t="s">
        <v>502</v>
      </c>
      <c r="E231" s="48" t="s">
        <v>685</v>
      </c>
      <c r="F231" s="47" t="s">
        <v>686</v>
      </c>
      <c r="G231" s="47" t="s">
        <v>687</v>
      </c>
      <c r="H231" s="47" t="s">
        <v>688</v>
      </c>
      <c r="I231" s="47">
        <v>1</v>
      </c>
      <c r="J231" s="47">
        <v>1</v>
      </c>
      <c r="K231" s="47" t="s">
        <v>689</v>
      </c>
      <c r="L231" s="47" t="s">
        <v>569</v>
      </c>
      <c r="M231" s="47">
        <v>2012</v>
      </c>
      <c r="N231" s="33" t="str">
        <f>HYPERLINK("http://services.igi-global.com/resolvedoi/resolve.aspx?doi=10.4018/978-1-61350-507-6")</f>
        <v>http://services.igi-global.com/resolvedoi/resolve.aspx?doi=10.4018/978-1-61350-507-6</v>
      </c>
    </row>
    <row r="232" spans="1:14">
      <c r="A232" s="47">
        <v>231</v>
      </c>
      <c r="B232" s="47" t="s">
        <v>571</v>
      </c>
      <c r="C232" s="47" t="s">
        <v>1282</v>
      </c>
      <c r="D232" s="48" t="s">
        <v>723</v>
      </c>
      <c r="E232" s="48" t="s">
        <v>724</v>
      </c>
      <c r="F232" s="47" t="s">
        <v>725</v>
      </c>
      <c r="G232" s="47" t="s">
        <v>726</v>
      </c>
      <c r="H232" s="47" t="s">
        <v>727</v>
      </c>
      <c r="I232" s="47">
        <v>1</v>
      </c>
      <c r="J232" s="47">
        <v>1</v>
      </c>
      <c r="K232" s="47" t="s">
        <v>1387</v>
      </c>
      <c r="L232" s="47" t="s">
        <v>569</v>
      </c>
      <c r="M232" s="47">
        <v>2012</v>
      </c>
      <c r="N232" s="33" t="str">
        <f>HYPERLINK("http://services.igi-global.com/resolvedoi/resolve.aspx?doi=10.4018/978-1-61350-135-1")</f>
        <v>http://services.igi-global.com/resolvedoi/resolve.aspx?doi=10.4018/978-1-61350-135-1</v>
      </c>
    </row>
    <row r="233" spans="1:14">
      <c r="A233" s="47">
        <v>232</v>
      </c>
      <c r="B233" s="47" t="s">
        <v>571</v>
      </c>
      <c r="C233" s="47" t="s">
        <v>1282</v>
      </c>
      <c r="D233" s="48" t="s">
        <v>513</v>
      </c>
      <c r="E233" s="48" t="s">
        <v>356</v>
      </c>
      <c r="F233" s="47" t="s">
        <v>357</v>
      </c>
      <c r="G233" s="47" t="s">
        <v>358</v>
      </c>
      <c r="H233" s="47" t="s">
        <v>359</v>
      </c>
      <c r="I233" s="47">
        <v>1</v>
      </c>
      <c r="J233" s="47">
        <v>1</v>
      </c>
      <c r="K233" s="47" t="s">
        <v>1228</v>
      </c>
      <c r="L233" s="47" t="s">
        <v>569</v>
      </c>
      <c r="M233" s="47">
        <v>2012</v>
      </c>
      <c r="N233" s="33" t="str">
        <f>HYPERLINK("http://services.igi-global.com/resolvedoi/resolve.aspx?doi=10.4018/978-1-46660-026-3")</f>
        <v>http://services.igi-global.com/resolvedoi/resolve.aspx?doi=10.4018/978-1-46660-026-3</v>
      </c>
    </row>
    <row r="234" spans="1:14">
      <c r="A234" s="47">
        <v>233</v>
      </c>
      <c r="B234" s="47" t="s">
        <v>571</v>
      </c>
      <c r="C234" s="47" t="s">
        <v>1282</v>
      </c>
      <c r="D234" s="48" t="s">
        <v>513</v>
      </c>
      <c r="E234" s="48" t="s">
        <v>781</v>
      </c>
      <c r="F234" s="47" t="s">
        <v>782</v>
      </c>
      <c r="G234" s="47" t="s">
        <v>783</v>
      </c>
      <c r="H234" s="47" t="s">
        <v>784</v>
      </c>
      <c r="I234" s="47">
        <v>1</v>
      </c>
      <c r="J234" s="47">
        <v>1</v>
      </c>
      <c r="K234" s="47" t="s">
        <v>785</v>
      </c>
      <c r="L234" s="47" t="s">
        <v>569</v>
      </c>
      <c r="M234" s="47">
        <v>2012</v>
      </c>
      <c r="N234" s="33" t="str">
        <f>HYPERLINK("http://services.igi-global.com/resolvedoi/resolve.aspx?doi=10.4018/978-1-60960-836-1")</f>
        <v>http://services.igi-global.com/resolvedoi/resolve.aspx?doi=10.4018/978-1-60960-836-1</v>
      </c>
    </row>
    <row r="235" spans="1:14">
      <c r="A235" s="47">
        <v>234</v>
      </c>
      <c r="B235" s="47" t="s">
        <v>571</v>
      </c>
      <c r="C235" s="47" t="s">
        <v>1282</v>
      </c>
      <c r="D235" s="48" t="s">
        <v>513</v>
      </c>
      <c r="E235" s="48" t="s">
        <v>468</v>
      </c>
      <c r="F235" s="47" t="s">
        <v>469</v>
      </c>
      <c r="G235" s="47" t="s">
        <v>470</v>
      </c>
      <c r="H235" s="47" t="s">
        <v>471</v>
      </c>
      <c r="I235" s="47">
        <v>1</v>
      </c>
      <c r="J235" s="47">
        <v>1</v>
      </c>
      <c r="K235" s="47" t="s">
        <v>472</v>
      </c>
      <c r="L235" s="47" t="s">
        <v>569</v>
      </c>
      <c r="M235" s="47">
        <v>2012</v>
      </c>
      <c r="N235" s="33" t="str">
        <f>HYPERLINK("http://services.igi-global.com/resolvedoi/resolve.aspx?doi=10.4018/978-1-46660-104-8")</f>
        <v>http://services.igi-global.com/resolvedoi/resolve.aspx?doi=10.4018/978-1-46660-104-8</v>
      </c>
    </row>
    <row r="236" spans="1:14">
      <c r="A236" s="47">
        <v>235</v>
      </c>
      <c r="B236" s="47" t="s">
        <v>571</v>
      </c>
      <c r="C236" s="47" t="s">
        <v>1282</v>
      </c>
      <c r="D236" s="48" t="s">
        <v>513</v>
      </c>
      <c r="E236" s="48" t="s">
        <v>321</v>
      </c>
      <c r="F236" s="47" t="s">
        <v>322</v>
      </c>
      <c r="G236" s="47" t="s">
        <v>323</v>
      </c>
      <c r="H236" s="47" t="s">
        <v>324</v>
      </c>
      <c r="I236" s="47">
        <v>1</v>
      </c>
      <c r="J236" s="47">
        <v>1</v>
      </c>
      <c r="K236" s="47" t="s">
        <v>41</v>
      </c>
      <c r="L236" s="47" t="s">
        <v>569</v>
      </c>
      <c r="M236" s="47">
        <v>2012</v>
      </c>
      <c r="N236" s="33" t="str">
        <f>HYPERLINK("http://services.igi-global.com/resolvedoi/resolve.aspx?doi=10.4018/978-1-46660-197-0")</f>
        <v>http://services.igi-global.com/resolvedoi/resolve.aspx?doi=10.4018/978-1-46660-197-0</v>
      </c>
    </row>
    <row r="237" spans="1:14">
      <c r="A237" s="47">
        <v>236</v>
      </c>
      <c r="B237" s="47" t="s">
        <v>571</v>
      </c>
      <c r="C237" s="47" t="s">
        <v>1282</v>
      </c>
      <c r="D237" s="48" t="s">
        <v>707</v>
      </c>
      <c r="E237" s="48" t="s">
        <v>708</v>
      </c>
      <c r="F237" s="47" t="s">
        <v>709</v>
      </c>
      <c r="G237" s="47" t="s">
        <v>710</v>
      </c>
      <c r="H237" s="47" t="s">
        <v>711</v>
      </c>
      <c r="I237" s="47">
        <v>1</v>
      </c>
      <c r="J237" s="47">
        <v>1</v>
      </c>
      <c r="K237" s="47" t="s">
        <v>712</v>
      </c>
      <c r="L237" s="47" t="s">
        <v>569</v>
      </c>
      <c r="M237" s="47">
        <v>2012</v>
      </c>
      <c r="N237" s="33" t="str">
        <f>HYPERLINK("http://services.igi-global.com/resolvedoi/resolve.aspx?doi=10.4018/978-1-61350-350-8")</f>
        <v>http://services.igi-global.com/resolvedoi/resolve.aspx?doi=10.4018/978-1-61350-350-8</v>
      </c>
    </row>
    <row r="238" spans="1:14">
      <c r="A238" s="47">
        <v>237</v>
      </c>
      <c r="B238" s="47" t="s">
        <v>571</v>
      </c>
      <c r="C238" s="47" t="s">
        <v>1282</v>
      </c>
      <c r="D238" s="48" t="s">
        <v>511</v>
      </c>
      <c r="E238" s="48" t="s">
        <v>37</v>
      </c>
      <c r="F238" s="47" t="s">
        <v>38</v>
      </c>
      <c r="G238" s="47" t="s">
        <v>39</v>
      </c>
      <c r="H238" s="47" t="s">
        <v>40</v>
      </c>
      <c r="I238" s="47">
        <v>1</v>
      </c>
      <c r="J238" s="47">
        <v>1</v>
      </c>
      <c r="K238" s="47" t="s">
        <v>41</v>
      </c>
      <c r="L238" s="47" t="s">
        <v>569</v>
      </c>
      <c r="M238" s="47">
        <v>2012</v>
      </c>
      <c r="N238" s="33" t="str">
        <f>HYPERLINK("http://services.igi-global.com/resolvedoi/resolve.aspx?doi=10.4018/978-1-46660-978-5")</f>
        <v>http://services.igi-global.com/resolvedoi/resolve.aspx?doi=10.4018/978-1-46660-978-5</v>
      </c>
    </row>
    <row r="239" spans="1:14">
      <c r="A239" s="47">
        <v>238</v>
      </c>
      <c r="B239" s="47" t="s">
        <v>571</v>
      </c>
      <c r="C239" s="47" t="s">
        <v>1282</v>
      </c>
      <c r="D239" s="48" t="s">
        <v>1147</v>
      </c>
      <c r="E239" s="48" t="s">
        <v>1148</v>
      </c>
      <c r="F239" s="47" t="s">
        <v>1149</v>
      </c>
      <c r="G239" s="47" t="s">
        <v>1150</v>
      </c>
      <c r="H239" s="47" t="s">
        <v>1151</v>
      </c>
      <c r="I239" s="47">
        <v>1</v>
      </c>
      <c r="J239" s="47">
        <v>1</v>
      </c>
      <c r="K239" s="47" t="s">
        <v>1152</v>
      </c>
      <c r="L239" s="47" t="s">
        <v>569</v>
      </c>
      <c r="M239" s="47">
        <v>2010</v>
      </c>
      <c r="N239" s="33" t="str">
        <f>HYPERLINK("http://services.igi-global.com/resolvedoi/resolve.aspx?doi=10.4018/978-1-60566-922-9")</f>
        <v>http://services.igi-global.com/resolvedoi/resolve.aspx?doi=10.4018/978-1-60566-922-9</v>
      </c>
    </row>
    <row r="240" spans="1:14">
      <c r="A240" s="47">
        <v>239</v>
      </c>
      <c r="B240" s="47" t="s">
        <v>571</v>
      </c>
      <c r="C240" s="47" t="s">
        <v>1282</v>
      </c>
      <c r="D240" s="48" t="s">
        <v>513</v>
      </c>
      <c r="E240" s="48" t="s">
        <v>1203</v>
      </c>
      <c r="F240" s="47" t="s">
        <v>1204</v>
      </c>
      <c r="G240" s="47" t="s">
        <v>1205</v>
      </c>
      <c r="H240" s="47" t="s">
        <v>1206</v>
      </c>
      <c r="I240" s="47">
        <v>1</v>
      </c>
      <c r="J240" s="47">
        <v>1</v>
      </c>
      <c r="K240" s="47" t="s">
        <v>1207</v>
      </c>
      <c r="L240" s="47" t="s">
        <v>569</v>
      </c>
      <c r="M240" s="47">
        <v>2009</v>
      </c>
      <c r="N240" s="33" t="str">
        <f>HYPERLINK("http://services.igi-global.com/resolvedoi/resolve.aspx?doi=10.4018/978-1-59904-855-0")</f>
        <v>http://services.igi-global.com/resolvedoi/resolve.aspx?doi=10.4018/978-1-59904-855-0</v>
      </c>
    </row>
    <row r="241" spans="1:14">
      <c r="A241" s="47">
        <v>240</v>
      </c>
      <c r="B241" s="47" t="s">
        <v>571</v>
      </c>
      <c r="C241" s="47" t="s">
        <v>1229</v>
      </c>
      <c r="D241" s="48" t="s">
        <v>503</v>
      </c>
      <c r="E241" s="48" t="s">
        <v>632</v>
      </c>
      <c r="F241" s="47" t="s">
        <v>633</v>
      </c>
      <c r="G241" s="47" t="s">
        <v>634</v>
      </c>
      <c r="H241" s="47" t="s">
        <v>635</v>
      </c>
      <c r="I241" s="47">
        <v>1</v>
      </c>
      <c r="J241" s="47">
        <v>1</v>
      </c>
      <c r="K241" s="47" t="s">
        <v>636</v>
      </c>
      <c r="L241" s="47" t="s">
        <v>569</v>
      </c>
      <c r="M241" s="47">
        <v>2012</v>
      </c>
      <c r="N241" s="33" t="str">
        <f>HYPERLINK("http://services.igi-global.com/resolvedoi/resolve.aspx?doi=10.4018/978-1-61350-459-8")</f>
        <v>http://services.igi-global.com/resolvedoi/resolve.aspx?doi=10.4018/978-1-61350-459-8</v>
      </c>
    </row>
    <row r="242" spans="1:14">
      <c r="A242" s="47">
        <v>241</v>
      </c>
      <c r="B242" s="47" t="s">
        <v>571</v>
      </c>
      <c r="C242" s="47" t="s">
        <v>1229</v>
      </c>
      <c r="D242" s="48" t="s">
        <v>1324</v>
      </c>
      <c r="E242" s="48" t="s">
        <v>1325</v>
      </c>
      <c r="F242" s="47" t="s">
        <v>1326</v>
      </c>
      <c r="G242" s="47" t="s">
        <v>1327</v>
      </c>
      <c r="H242" s="47" t="s">
        <v>1328</v>
      </c>
      <c r="I242" s="47">
        <v>1</v>
      </c>
      <c r="J242" s="47">
        <v>1</v>
      </c>
      <c r="K242" s="47" t="s">
        <v>1329</v>
      </c>
      <c r="L242" s="47" t="s">
        <v>569</v>
      </c>
      <c r="M242" s="47">
        <v>2012</v>
      </c>
      <c r="N242" s="33" t="str">
        <f>HYPERLINK("http://services.igi-global.com/resolvedoi/resolve.aspx?doi=10.4018/978-1-46661-818-3")</f>
        <v>http://services.igi-global.com/resolvedoi/resolve.aspx?doi=10.4018/978-1-46661-818-3</v>
      </c>
    </row>
    <row r="243" spans="1:14">
      <c r="A243" s="47">
        <v>242</v>
      </c>
      <c r="B243" s="47" t="s">
        <v>571</v>
      </c>
      <c r="C243" s="47" t="s">
        <v>1229</v>
      </c>
      <c r="D243" s="48" t="s">
        <v>1545</v>
      </c>
      <c r="E243" s="48" t="s">
        <v>1546</v>
      </c>
      <c r="F243" s="47" t="s">
        <v>1547</v>
      </c>
      <c r="G243" s="47" t="s">
        <v>1548</v>
      </c>
      <c r="H243" s="47" t="s">
        <v>1549</v>
      </c>
      <c r="I243" s="47">
        <v>1</v>
      </c>
      <c r="J243" s="47">
        <v>1</v>
      </c>
      <c r="K243" s="47" t="s">
        <v>1550</v>
      </c>
      <c r="L243" s="47" t="s">
        <v>569</v>
      </c>
      <c r="M243" s="47">
        <v>2012</v>
      </c>
      <c r="N243" s="33" t="str">
        <f>HYPERLINK("http://services.igi-global.com/resolvedoi/resolve.aspx?doi=10.4018/978-1-46660-894-8")</f>
        <v>http://services.igi-global.com/resolvedoi/resolve.aspx?doi=10.4018/978-1-46660-894-8</v>
      </c>
    </row>
    <row r="244" spans="1:14">
      <c r="A244" s="47">
        <v>243</v>
      </c>
      <c r="B244" s="47" t="s">
        <v>571</v>
      </c>
      <c r="C244" s="47" t="s">
        <v>1229</v>
      </c>
      <c r="D244" s="48" t="s">
        <v>150</v>
      </c>
      <c r="E244" s="48" t="s">
        <v>168</v>
      </c>
      <c r="F244" s="47" t="s">
        <v>169</v>
      </c>
      <c r="G244" s="47" t="s">
        <v>170</v>
      </c>
      <c r="H244" s="47" t="s">
        <v>171</v>
      </c>
      <c r="I244" s="47">
        <v>3</v>
      </c>
      <c r="J244" s="47">
        <v>1</v>
      </c>
      <c r="K244" s="47" t="s">
        <v>172</v>
      </c>
      <c r="L244" s="47" t="s">
        <v>569</v>
      </c>
      <c r="M244" s="47">
        <v>2012</v>
      </c>
      <c r="N244" s="33" t="str">
        <f>HYPERLINK("http://services.igi-global.com/resolvedoi/resolve.aspx?doi=10.4018/978-1-46660-315-8")</f>
        <v>http://services.igi-global.com/resolvedoi/resolve.aspx?doi=10.4018/978-1-46660-315-8</v>
      </c>
    </row>
    <row r="245" spans="1:14">
      <c r="A245" s="47">
        <v>244</v>
      </c>
      <c r="B245" s="47" t="s">
        <v>571</v>
      </c>
      <c r="C245" s="47" t="s">
        <v>1229</v>
      </c>
      <c r="D245" s="48" t="s">
        <v>564</v>
      </c>
      <c r="E245" s="48" t="s">
        <v>749</v>
      </c>
      <c r="F245" s="47" t="s">
        <v>750</v>
      </c>
      <c r="G245" s="47" t="s">
        <v>751</v>
      </c>
      <c r="H245" s="47" t="s">
        <v>752</v>
      </c>
      <c r="I245" s="47">
        <v>1</v>
      </c>
      <c r="J245" s="47">
        <v>1</v>
      </c>
      <c r="K245" s="47" t="s">
        <v>753</v>
      </c>
      <c r="L245" s="47" t="s">
        <v>569</v>
      </c>
      <c r="M245" s="47">
        <v>2012</v>
      </c>
      <c r="N245" s="33" t="str">
        <f>HYPERLINK("http://services.igi-global.com/resolvedoi/resolve.aspx?doi=10.4018/978-1-61350-207-5")</f>
        <v>http://services.igi-global.com/resolvedoi/resolve.aspx?doi=10.4018/978-1-61350-207-5</v>
      </c>
    </row>
    <row r="246" spans="1:14">
      <c r="A246" s="47">
        <v>245</v>
      </c>
      <c r="B246" s="47" t="s">
        <v>571</v>
      </c>
      <c r="C246" s="47" t="s">
        <v>1229</v>
      </c>
      <c r="D246" s="48" t="s">
        <v>1425</v>
      </c>
      <c r="E246" s="48" t="s">
        <v>1426</v>
      </c>
      <c r="F246" s="47" t="s">
        <v>1427</v>
      </c>
      <c r="G246" s="47" t="s">
        <v>1428</v>
      </c>
      <c r="H246" s="47" t="s">
        <v>1429</v>
      </c>
      <c r="I246" s="47">
        <v>3</v>
      </c>
      <c r="J246" s="47">
        <v>1</v>
      </c>
      <c r="K246" s="47" t="s">
        <v>1424</v>
      </c>
      <c r="L246" s="47" t="s">
        <v>568</v>
      </c>
      <c r="M246" s="47">
        <v>2012</v>
      </c>
      <c r="N246" s="33" t="str">
        <f>HYPERLINK("http://services.igi-global.com/resolvedoi/resolve.aspx?doi=10.4018/978-1-46661-601-1")</f>
        <v>http://services.igi-global.com/resolvedoi/resolve.aspx?doi=10.4018/978-1-46661-601-1</v>
      </c>
    </row>
    <row r="247" spans="1:14">
      <c r="A247" s="47">
        <v>246</v>
      </c>
      <c r="B247" s="47" t="s">
        <v>571</v>
      </c>
      <c r="C247" s="47" t="s">
        <v>1229</v>
      </c>
      <c r="D247" s="48" t="s">
        <v>242</v>
      </c>
      <c r="E247" s="48" t="s">
        <v>243</v>
      </c>
      <c r="F247" s="47" t="s">
        <v>244</v>
      </c>
      <c r="G247" s="47" t="s">
        <v>245</v>
      </c>
      <c r="H247" s="47" t="s">
        <v>246</v>
      </c>
      <c r="I247" s="47">
        <v>1</v>
      </c>
      <c r="J247" s="47">
        <v>1</v>
      </c>
      <c r="K247" s="47" t="s">
        <v>247</v>
      </c>
      <c r="L247" s="47" t="s">
        <v>569</v>
      </c>
      <c r="M247" s="47">
        <v>2012</v>
      </c>
      <c r="N247" s="33" t="str">
        <f>HYPERLINK("http://services.igi-global.com/resolvedoi/resolve.aspx?doi=10.4018/978-1-46660-152-9")</f>
        <v>http://services.igi-global.com/resolvedoi/resolve.aspx?doi=10.4018/978-1-46660-152-9</v>
      </c>
    </row>
    <row r="248" spans="1:14">
      <c r="A248" s="47">
        <v>247</v>
      </c>
      <c r="B248" s="47" t="s">
        <v>571</v>
      </c>
      <c r="C248" s="47" t="s">
        <v>1229</v>
      </c>
      <c r="D248" s="48" t="s">
        <v>378</v>
      </c>
      <c r="E248" s="48" t="s">
        <v>379</v>
      </c>
      <c r="F248" s="47" t="s">
        <v>380</v>
      </c>
      <c r="G248" s="47" t="s">
        <v>381</v>
      </c>
      <c r="H248" s="47" t="s">
        <v>382</v>
      </c>
      <c r="I248" s="47">
        <v>1</v>
      </c>
      <c r="J248" s="47">
        <v>1</v>
      </c>
      <c r="K248" s="47" t="s">
        <v>383</v>
      </c>
      <c r="L248" s="47" t="s">
        <v>569</v>
      </c>
      <c r="M248" s="47">
        <v>2012</v>
      </c>
      <c r="N248" s="33" t="str">
        <f>HYPERLINK("http://services.igi-global.com/resolvedoi/resolve.aspx?doi=10.4018/978-1-46660-047-8")</f>
        <v>http://services.igi-global.com/resolvedoi/resolve.aspx?doi=10.4018/978-1-46660-047-8</v>
      </c>
    </row>
    <row r="249" spans="1:14">
      <c r="A249" s="47">
        <v>248</v>
      </c>
      <c r="B249" s="47" t="s">
        <v>571</v>
      </c>
      <c r="C249" s="47" t="s">
        <v>1229</v>
      </c>
      <c r="D249" s="48" t="s">
        <v>335</v>
      </c>
      <c r="E249" s="48" t="s">
        <v>336</v>
      </c>
      <c r="F249" s="47" t="s">
        <v>337</v>
      </c>
      <c r="G249" s="47" t="s">
        <v>338</v>
      </c>
      <c r="H249" s="47" t="s">
        <v>339</v>
      </c>
      <c r="I249" s="47">
        <v>1</v>
      </c>
      <c r="J249" s="47">
        <v>1</v>
      </c>
      <c r="K249" s="47" t="s">
        <v>340</v>
      </c>
      <c r="L249" s="47" t="s">
        <v>569</v>
      </c>
      <c r="M249" s="47">
        <v>2012</v>
      </c>
      <c r="N249" s="33" t="str">
        <f>HYPERLINK("http://services.igi-global.com/resolvedoi/resolve.aspx?doi=10.4018/978-1-61350-204-4")</f>
        <v>http://services.igi-global.com/resolvedoi/resolve.aspx?doi=10.4018/978-1-61350-204-4</v>
      </c>
    </row>
    <row r="250" spans="1:14">
      <c r="A250" s="47">
        <v>249</v>
      </c>
      <c r="B250" s="47" t="s">
        <v>571</v>
      </c>
      <c r="C250" s="47" t="s">
        <v>1229</v>
      </c>
      <c r="D250" s="48" t="s">
        <v>507</v>
      </c>
      <c r="E250" s="48" t="s">
        <v>316</v>
      </c>
      <c r="F250" s="47" t="s">
        <v>317</v>
      </c>
      <c r="G250" s="47" t="s">
        <v>318</v>
      </c>
      <c r="H250" s="47" t="s">
        <v>319</v>
      </c>
      <c r="I250" s="47">
        <v>1</v>
      </c>
      <c r="J250" s="47">
        <v>1</v>
      </c>
      <c r="K250" s="47" t="s">
        <v>320</v>
      </c>
      <c r="L250" s="47" t="s">
        <v>561</v>
      </c>
      <c r="M250" s="47">
        <v>2012</v>
      </c>
      <c r="N250" s="33" t="str">
        <f>HYPERLINK("http://services.igi-global.com/resolvedoi/resolve.aspx?doi=10.4018/978-1-46660-194-9")</f>
        <v>http://services.igi-global.com/resolvedoi/resolve.aspx?doi=10.4018/978-1-46660-194-9</v>
      </c>
    </row>
    <row r="251" spans="1:14">
      <c r="A251" s="47">
        <v>250</v>
      </c>
      <c r="B251" s="47" t="s">
        <v>571</v>
      </c>
      <c r="C251" s="47" t="s">
        <v>1229</v>
      </c>
      <c r="D251" s="48" t="s">
        <v>508</v>
      </c>
      <c r="E251" s="48" t="s">
        <v>1364</v>
      </c>
      <c r="F251" s="47" t="s">
        <v>1365</v>
      </c>
      <c r="G251" s="47" t="s">
        <v>1366</v>
      </c>
      <c r="H251" s="47" t="s">
        <v>1367</v>
      </c>
      <c r="I251" s="47">
        <v>1</v>
      </c>
      <c r="J251" s="47">
        <v>1</v>
      </c>
      <c r="K251" s="47" t="s">
        <v>1230</v>
      </c>
      <c r="L251" s="47" t="s">
        <v>569</v>
      </c>
      <c r="M251" s="47">
        <v>2012</v>
      </c>
      <c r="N251" s="33" t="str">
        <f>HYPERLINK("http://services.igi-global.com/resolvedoi/resolve.aspx?doi=10.4018/978-1-46661-559-5")</f>
        <v>http://services.igi-global.com/resolvedoi/resolve.aspx?doi=10.4018/978-1-46661-559-5</v>
      </c>
    </row>
    <row r="252" spans="1:14">
      <c r="A252" s="47">
        <v>251</v>
      </c>
      <c r="B252" s="47" t="s">
        <v>571</v>
      </c>
      <c r="C252" s="47" t="s">
        <v>1229</v>
      </c>
      <c r="D252" s="48" t="s">
        <v>690</v>
      </c>
      <c r="E252" s="48" t="s">
        <v>691</v>
      </c>
      <c r="F252" s="47" t="s">
        <v>692</v>
      </c>
      <c r="G252" s="47" t="s">
        <v>693</v>
      </c>
      <c r="H252" s="47" t="s">
        <v>694</v>
      </c>
      <c r="I252" s="47">
        <v>1</v>
      </c>
      <c r="J252" s="47">
        <v>1</v>
      </c>
      <c r="K252" s="47" t="s">
        <v>695</v>
      </c>
      <c r="L252" s="47" t="s">
        <v>569</v>
      </c>
      <c r="M252" s="47">
        <v>2012</v>
      </c>
      <c r="N252" s="33" t="str">
        <f>HYPERLINK("http://services.igi-global.com/resolvedoi/resolve.aspx?doi=10.4018/978-1-61350-513-7")</f>
        <v>http://services.igi-global.com/resolvedoi/resolve.aspx?doi=10.4018/978-1-61350-513-7</v>
      </c>
    </row>
    <row r="253" spans="1:14">
      <c r="A253" s="47">
        <v>252</v>
      </c>
      <c r="B253" s="47" t="s">
        <v>571</v>
      </c>
      <c r="C253" s="47" t="s">
        <v>1229</v>
      </c>
      <c r="D253" s="48" t="s">
        <v>610</v>
      </c>
      <c r="E253" s="48" t="s">
        <v>611</v>
      </c>
      <c r="F253" s="47" t="s">
        <v>612</v>
      </c>
      <c r="G253" s="47" t="s">
        <v>613</v>
      </c>
      <c r="H253" s="47" t="s">
        <v>614</v>
      </c>
      <c r="I253" s="47">
        <v>1</v>
      </c>
      <c r="J253" s="47">
        <v>1</v>
      </c>
      <c r="K253" s="47" t="s">
        <v>615</v>
      </c>
      <c r="L253" s="47" t="s">
        <v>569</v>
      </c>
      <c r="M253" s="47">
        <v>2012</v>
      </c>
      <c r="N253" s="33" t="str">
        <f>HYPERLINK("http://services.igi-global.com/resolvedoi/resolve.aspx?doi=10.4018/978-1-61350-444-4")</f>
        <v>http://services.igi-global.com/resolvedoi/resolve.aspx?doi=10.4018/978-1-61350-444-4</v>
      </c>
    </row>
    <row r="254" spans="1:14">
      <c r="A254" s="47">
        <v>253</v>
      </c>
      <c r="B254" s="47" t="s">
        <v>571</v>
      </c>
      <c r="C254" s="47" t="s">
        <v>1229</v>
      </c>
      <c r="D254" s="48" t="s">
        <v>510</v>
      </c>
      <c r="E254" s="48" t="s">
        <v>1596</v>
      </c>
      <c r="F254" s="47" t="s">
        <v>1597</v>
      </c>
      <c r="G254" s="47" t="s">
        <v>1598</v>
      </c>
      <c r="H254" s="47" t="s">
        <v>1599</v>
      </c>
      <c r="I254" s="47">
        <v>1</v>
      </c>
      <c r="J254" s="47">
        <v>1</v>
      </c>
      <c r="K254" s="47" t="s">
        <v>547</v>
      </c>
      <c r="L254" s="47" t="s">
        <v>569</v>
      </c>
      <c r="M254" s="47">
        <v>2012</v>
      </c>
      <c r="N254" s="33" t="str">
        <f>HYPERLINK("http://services.igi-global.com/resolvedoi/resolve.aspx?doi=10.4018/978-1-46660-927-3")</f>
        <v>http://services.igi-global.com/resolvedoi/resolve.aspx?doi=10.4018/978-1-46660-927-3</v>
      </c>
    </row>
    <row r="255" spans="1:14">
      <c r="A255" s="47">
        <v>254</v>
      </c>
      <c r="B255" s="47" t="s">
        <v>571</v>
      </c>
      <c r="C255" s="47" t="s">
        <v>1229</v>
      </c>
      <c r="D255" s="48" t="s">
        <v>506</v>
      </c>
      <c r="E255" s="48" t="s">
        <v>696</v>
      </c>
      <c r="F255" s="47" t="s">
        <v>697</v>
      </c>
      <c r="G255" s="47" t="s">
        <v>698</v>
      </c>
      <c r="H255" s="47" t="s">
        <v>699</v>
      </c>
      <c r="I255" s="47">
        <v>1</v>
      </c>
      <c r="J255" s="47">
        <v>1</v>
      </c>
      <c r="K255" s="47" t="s">
        <v>700</v>
      </c>
      <c r="L255" s="47" t="s">
        <v>569</v>
      </c>
      <c r="M255" s="47">
        <v>2012</v>
      </c>
      <c r="N255" s="33" t="str">
        <f>HYPERLINK("http://services.igi-global.com/resolvedoi/resolve.aspx?doi=10.4018/978-1-61350-516-8")</f>
        <v>http://services.igi-global.com/resolvedoi/resolve.aspx?doi=10.4018/978-1-61350-516-8</v>
      </c>
    </row>
    <row r="256" spans="1:14">
      <c r="A256" s="47">
        <v>255</v>
      </c>
      <c r="B256" s="47" t="s">
        <v>571</v>
      </c>
      <c r="C256" s="47" t="s">
        <v>1229</v>
      </c>
      <c r="D256" s="48" t="s">
        <v>521</v>
      </c>
      <c r="E256" s="48" t="s">
        <v>1023</v>
      </c>
      <c r="F256" s="47" t="s">
        <v>1024</v>
      </c>
      <c r="G256" s="47" t="s">
        <v>1025</v>
      </c>
      <c r="H256" s="47" t="s">
        <v>1026</v>
      </c>
      <c r="I256" s="47">
        <v>1</v>
      </c>
      <c r="J256" s="47">
        <v>1</v>
      </c>
      <c r="K256" s="47" t="s">
        <v>320</v>
      </c>
      <c r="L256" s="47" t="s">
        <v>569</v>
      </c>
      <c r="M256" s="47">
        <v>2011</v>
      </c>
      <c r="N256" s="33" t="str">
        <f>HYPERLINK("http://services.igi-global.com/resolvedoi/resolve.aspx?doi=10.4018/978-1-60960-499-8")</f>
        <v>http://services.igi-global.com/resolvedoi/resolve.aspx?doi=10.4018/978-1-60960-499-8</v>
      </c>
    </row>
    <row r="257" spans="1:14">
      <c r="A257" s="47">
        <v>256</v>
      </c>
      <c r="B257" s="47" t="s">
        <v>571</v>
      </c>
      <c r="C257" s="47" t="s">
        <v>1229</v>
      </c>
      <c r="D257" s="48" t="s">
        <v>1033</v>
      </c>
      <c r="E257" s="48" t="s">
        <v>1034</v>
      </c>
      <c r="F257" s="47" t="s">
        <v>1035</v>
      </c>
      <c r="G257" s="47" t="s">
        <v>1036</v>
      </c>
      <c r="H257" s="47" t="s">
        <v>1037</v>
      </c>
      <c r="I257" s="47">
        <v>1</v>
      </c>
      <c r="J257" s="47">
        <v>1</v>
      </c>
      <c r="K257" s="47" t="s">
        <v>1231</v>
      </c>
      <c r="L257" s="47" t="s">
        <v>569</v>
      </c>
      <c r="M257" s="47">
        <v>2011</v>
      </c>
      <c r="N257" s="33" t="str">
        <f>HYPERLINK("http://services.igi-global.com/resolvedoi/resolve.aspx?doi=10.4018/978-1-60960-206-2")</f>
        <v>http://services.igi-global.com/resolvedoi/resolve.aspx?doi=10.4018/978-1-60960-206-2</v>
      </c>
    </row>
    <row r="258" spans="1:14">
      <c r="A258" s="47">
        <v>257</v>
      </c>
      <c r="B258" s="47" t="s">
        <v>571</v>
      </c>
      <c r="C258" s="47" t="s">
        <v>1229</v>
      </c>
      <c r="D258" s="48" t="s">
        <v>503</v>
      </c>
      <c r="E258" s="48" t="s">
        <v>1044</v>
      </c>
      <c r="F258" s="47" t="s">
        <v>1045</v>
      </c>
      <c r="G258" s="47" t="s">
        <v>1046</v>
      </c>
      <c r="H258" s="47" t="s">
        <v>1047</v>
      </c>
      <c r="I258" s="47">
        <v>1</v>
      </c>
      <c r="J258" s="47">
        <v>1</v>
      </c>
      <c r="K258" s="47" t="s">
        <v>1048</v>
      </c>
      <c r="L258" s="47" t="s">
        <v>569</v>
      </c>
      <c r="M258" s="47">
        <v>2011</v>
      </c>
      <c r="N258" s="33" t="str">
        <f>HYPERLINK("http://services.igi-global.com/resolvedoi/resolve.aspx?doi=10.4018/978-1-60960-203-1")</f>
        <v>http://services.igi-global.com/resolvedoi/resolve.aspx?doi=10.4018/978-1-60960-203-1</v>
      </c>
    </row>
    <row r="259" spans="1:14">
      <c r="A259" s="47">
        <v>258</v>
      </c>
      <c r="B259" s="47" t="s">
        <v>571</v>
      </c>
      <c r="C259" s="47" t="s">
        <v>1271</v>
      </c>
      <c r="D259" s="48" t="s">
        <v>441</v>
      </c>
      <c r="E259" s="48" t="s">
        <v>442</v>
      </c>
      <c r="F259" s="47" t="s">
        <v>443</v>
      </c>
      <c r="G259" s="47" t="s">
        <v>444</v>
      </c>
      <c r="H259" s="47" t="s">
        <v>445</v>
      </c>
      <c r="I259" s="47">
        <v>1</v>
      </c>
      <c r="J259" s="47">
        <v>1</v>
      </c>
      <c r="K259" s="47" t="s">
        <v>446</v>
      </c>
      <c r="L259" s="47" t="s">
        <v>569</v>
      </c>
      <c r="M259" s="47">
        <v>2012</v>
      </c>
      <c r="N259" s="33" t="str">
        <f>HYPERLINK("http://services.igi-global.com/resolvedoi/resolve.aspx?doi=10.4018/978-1-46660-089-8")</f>
        <v>http://services.igi-global.com/resolvedoi/resolve.aspx?doi=10.4018/978-1-46660-089-8</v>
      </c>
    </row>
    <row r="260" spans="1:14">
      <c r="A260" s="47">
        <v>259</v>
      </c>
      <c r="B260" s="47" t="s">
        <v>571</v>
      </c>
      <c r="C260" s="47" t="s">
        <v>1271</v>
      </c>
      <c r="D260" s="48" t="s">
        <v>983</v>
      </c>
      <c r="E260" s="48" t="s">
        <v>984</v>
      </c>
      <c r="F260" s="47" t="s">
        <v>985</v>
      </c>
      <c r="G260" s="47" t="s">
        <v>986</v>
      </c>
      <c r="H260" s="47" t="s">
        <v>987</v>
      </c>
      <c r="I260" s="47">
        <v>1</v>
      </c>
      <c r="J260" s="47">
        <v>1</v>
      </c>
      <c r="K260" s="47" t="s">
        <v>988</v>
      </c>
      <c r="L260" s="47" t="s">
        <v>1233</v>
      </c>
      <c r="M260" s="47">
        <v>2012</v>
      </c>
      <c r="N260" s="33" t="str">
        <f>HYPERLINK("http://services.igi-global.com/resolvedoi/resolve.aspx?doi=10.4018/978-1-60566-886-4")</f>
        <v>http://services.igi-global.com/resolvedoi/resolve.aspx?doi=10.4018/978-1-60566-886-4</v>
      </c>
    </row>
    <row r="261" spans="1:14">
      <c r="A261" s="47">
        <v>260</v>
      </c>
      <c r="B261" s="47" t="s">
        <v>571</v>
      </c>
      <c r="C261" s="47" t="s">
        <v>1271</v>
      </c>
      <c r="D261" s="48" t="s">
        <v>1525</v>
      </c>
      <c r="E261" s="48" t="s">
        <v>866</v>
      </c>
      <c r="F261" s="47" t="s">
        <v>867</v>
      </c>
      <c r="G261" s="47" t="s">
        <v>868</v>
      </c>
      <c r="H261" s="47" t="s">
        <v>869</v>
      </c>
      <c r="I261" s="47">
        <v>1</v>
      </c>
      <c r="J261" s="47">
        <v>1</v>
      </c>
      <c r="K261" s="47" t="s">
        <v>870</v>
      </c>
      <c r="L261" s="47" t="s">
        <v>569</v>
      </c>
      <c r="M261" s="47">
        <v>2012</v>
      </c>
      <c r="N261" s="33" t="str">
        <f>HYPERLINK("http://services.igi-global.com/resolvedoi/resolve.aspx?doi=10.4018/978-1-61350-113-9")</f>
        <v>http://services.igi-global.com/resolvedoi/resolve.aspx?doi=10.4018/978-1-61350-113-9</v>
      </c>
    </row>
    <row r="262" spans="1:14">
      <c r="A262" s="47">
        <v>261</v>
      </c>
      <c r="B262" s="47" t="s">
        <v>571</v>
      </c>
      <c r="C262" s="47" t="s">
        <v>1271</v>
      </c>
      <c r="D262" s="48" t="s">
        <v>515</v>
      </c>
      <c r="E262" s="48" t="s">
        <v>218</v>
      </c>
      <c r="F262" s="47" t="s">
        <v>219</v>
      </c>
      <c r="G262" s="47" t="s">
        <v>220</v>
      </c>
      <c r="H262" s="47" t="s">
        <v>221</v>
      </c>
      <c r="I262" s="47">
        <v>1</v>
      </c>
      <c r="J262" s="47">
        <v>1</v>
      </c>
      <c r="K262" s="47" t="s">
        <v>222</v>
      </c>
      <c r="L262" s="47" t="s">
        <v>1233</v>
      </c>
      <c r="M262" s="47">
        <v>2012</v>
      </c>
      <c r="N262" s="33" t="str">
        <f>HYPERLINK("http://services.igi-global.com/resolvedoi/resolve.aspx?doi=10.4018/978-1-46660-128-4")</f>
        <v>http://services.igi-global.com/resolvedoi/resolve.aspx?doi=10.4018/978-1-46660-128-4</v>
      </c>
    </row>
    <row r="263" spans="1:14">
      <c r="A263" s="47">
        <v>262</v>
      </c>
      <c r="B263" s="47" t="s">
        <v>571</v>
      </c>
      <c r="C263" s="47" t="s">
        <v>1271</v>
      </c>
      <c r="D263" s="48" t="s">
        <v>627</v>
      </c>
      <c r="E263" s="48" t="s">
        <v>628</v>
      </c>
      <c r="F263" s="47" t="s">
        <v>629</v>
      </c>
      <c r="G263" s="47" t="s">
        <v>630</v>
      </c>
      <c r="H263" s="47" t="s">
        <v>631</v>
      </c>
      <c r="I263" s="47">
        <v>4</v>
      </c>
      <c r="J263" s="47">
        <v>1</v>
      </c>
      <c r="K263" s="47" t="s">
        <v>1424</v>
      </c>
      <c r="L263" s="47" t="s">
        <v>1233</v>
      </c>
      <c r="M263" s="47">
        <v>2012</v>
      </c>
      <c r="N263" s="33" t="str">
        <f>HYPERLINK("http://services.igi-global.com/resolvedoi/resolve.aspx?doi=10.4018/978-1-61350-456-7")</f>
        <v>http://services.igi-global.com/resolvedoi/resolve.aspx?doi=10.4018/978-1-61350-456-7</v>
      </c>
    </row>
    <row r="264" spans="1:14">
      <c r="A264" s="47">
        <v>263</v>
      </c>
      <c r="B264" s="47" t="s">
        <v>571</v>
      </c>
      <c r="C264" s="47" t="s">
        <v>1271</v>
      </c>
      <c r="D264" s="48" t="s">
        <v>500</v>
      </c>
      <c r="E264" s="48" t="s">
        <v>341</v>
      </c>
      <c r="F264" s="47" t="s">
        <v>342</v>
      </c>
      <c r="G264" s="47" t="s">
        <v>343</v>
      </c>
      <c r="H264" s="47" t="s">
        <v>344</v>
      </c>
      <c r="I264" s="47">
        <v>1</v>
      </c>
      <c r="J264" s="47">
        <v>1</v>
      </c>
      <c r="K264" s="47" t="s">
        <v>345</v>
      </c>
      <c r="L264" s="47" t="s">
        <v>569</v>
      </c>
      <c r="M264" s="47">
        <v>2012</v>
      </c>
      <c r="N264" s="33" t="str">
        <f>HYPERLINK("http://services.igi-global.com/resolvedoi/resolve.aspx?doi=10.4018/978-1-61520-971-2")</f>
        <v>http://services.igi-global.com/resolvedoi/resolve.aspx?doi=10.4018/978-1-61520-971-2</v>
      </c>
    </row>
    <row r="265" spans="1:14">
      <c r="A265" s="47">
        <v>264</v>
      </c>
      <c r="B265" s="47" t="s">
        <v>571</v>
      </c>
      <c r="C265" s="47" t="s">
        <v>1271</v>
      </c>
      <c r="D265" s="48" t="s">
        <v>599</v>
      </c>
      <c r="E265" s="48" t="s">
        <v>600</v>
      </c>
      <c r="F265" s="47" t="s">
        <v>601</v>
      </c>
      <c r="G265" s="47" t="s">
        <v>602</v>
      </c>
      <c r="H265" s="47" t="s">
        <v>603</v>
      </c>
      <c r="I265" s="47">
        <v>1</v>
      </c>
      <c r="J265" s="47">
        <v>1</v>
      </c>
      <c r="K265" s="47" t="s">
        <v>604</v>
      </c>
      <c r="L265" s="47" t="s">
        <v>569</v>
      </c>
      <c r="M265" s="47">
        <v>2012</v>
      </c>
      <c r="N265" s="33" t="str">
        <f>HYPERLINK("http://services.igi-global.com/resolvedoi/resolve.aspx?doi=10.4018/978-1-61350-438-3")</f>
        <v>http://services.igi-global.com/resolvedoi/resolve.aspx?doi=10.4018/978-1-61350-438-3</v>
      </c>
    </row>
    <row r="266" spans="1:14">
      <c r="A266" s="47">
        <v>265</v>
      </c>
      <c r="B266" s="47" t="s">
        <v>571</v>
      </c>
      <c r="C266" s="47" t="s">
        <v>1271</v>
      </c>
      <c r="D266" s="48" t="s">
        <v>1475</v>
      </c>
      <c r="E266" s="48" t="s">
        <v>393</v>
      </c>
      <c r="F266" s="47" t="s">
        <v>394</v>
      </c>
      <c r="G266" s="47" t="s">
        <v>395</v>
      </c>
      <c r="H266" s="47" t="s">
        <v>396</v>
      </c>
      <c r="I266" s="47">
        <v>1</v>
      </c>
      <c r="J266" s="47">
        <v>1</v>
      </c>
      <c r="K266" s="47" t="s">
        <v>535</v>
      </c>
      <c r="L266" s="47" t="s">
        <v>569</v>
      </c>
      <c r="M266" s="47">
        <v>2012</v>
      </c>
      <c r="N266" s="33" t="str">
        <f>HYPERLINK("http://services.igi-global.com/resolvedoi/resolve.aspx?doi=10.4018/978-1-46660-056-0")</f>
        <v>http://services.igi-global.com/resolvedoi/resolve.aspx?doi=10.4018/978-1-46660-056-0</v>
      </c>
    </row>
    <row r="267" spans="1:14">
      <c r="A267" s="47">
        <v>266</v>
      </c>
      <c r="B267" s="47" t="s">
        <v>571</v>
      </c>
      <c r="C267" s="47" t="s">
        <v>1271</v>
      </c>
      <c r="D267" s="48" t="s">
        <v>664</v>
      </c>
      <c r="E267" s="48" t="s">
        <v>665</v>
      </c>
      <c r="F267" s="47" t="s">
        <v>666</v>
      </c>
      <c r="G267" s="47" t="s">
        <v>667</v>
      </c>
      <c r="H267" s="47" t="s">
        <v>668</v>
      </c>
      <c r="I267" s="47">
        <v>1</v>
      </c>
      <c r="J267" s="47">
        <v>1</v>
      </c>
      <c r="K267" s="47" t="s">
        <v>669</v>
      </c>
      <c r="L267" s="47" t="s">
        <v>568</v>
      </c>
      <c r="M267" s="47">
        <v>2012</v>
      </c>
      <c r="N267" s="33" t="str">
        <f>HYPERLINK("http://services.igi-global.com/resolvedoi/resolve.aspx?doi=10.4018/978-1-61350-486-4")</f>
        <v>http://services.igi-global.com/resolvedoi/resolve.aspx?doi=10.4018/978-1-61350-486-4</v>
      </c>
    </row>
    <row r="268" spans="1:14">
      <c r="A268" s="47">
        <v>267</v>
      </c>
      <c r="B268" s="47" t="s">
        <v>571</v>
      </c>
      <c r="C268" s="47" t="s">
        <v>1271</v>
      </c>
      <c r="D268" s="48" t="s">
        <v>1525</v>
      </c>
      <c r="E268" s="48" t="s">
        <v>1526</v>
      </c>
      <c r="F268" s="47" t="s">
        <v>1527</v>
      </c>
      <c r="G268" s="47" t="s">
        <v>1528</v>
      </c>
      <c r="H268" s="47" t="s">
        <v>1529</v>
      </c>
      <c r="I268" s="47">
        <v>4</v>
      </c>
      <c r="J268" s="47">
        <v>1</v>
      </c>
      <c r="K268" s="47" t="s">
        <v>1424</v>
      </c>
      <c r="L268" s="47" t="s">
        <v>569</v>
      </c>
      <c r="M268" s="47">
        <v>2012</v>
      </c>
      <c r="N268" s="33" t="str">
        <f>HYPERLINK("http://services.igi-global.com/resolvedoi/resolve.aspx?doi=10.4018/978-1-46660-879-5")</f>
        <v>http://services.igi-global.com/resolvedoi/resolve.aspx?doi=10.4018/978-1-46660-879-5</v>
      </c>
    </row>
    <row r="269" spans="1:14">
      <c r="A269" s="47">
        <v>268</v>
      </c>
      <c r="B269" s="47" t="s">
        <v>571</v>
      </c>
      <c r="C269" s="47" t="s">
        <v>1271</v>
      </c>
      <c r="D269" s="48" t="s">
        <v>845</v>
      </c>
      <c r="E269" s="48" t="s">
        <v>846</v>
      </c>
      <c r="F269" s="47" t="s">
        <v>847</v>
      </c>
      <c r="G269" s="47" t="s">
        <v>848</v>
      </c>
      <c r="H269" s="47" t="s">
        <v>849</v>
      </c>
      <c r="I269" s="47">
        <v>2</v>
      </c>
      <c r="J269" s="47">
        <v>1</v>
      </c>
      <c r="K269" s="47" t="s">
        <v>850</v>
      </c>
      <c r="L269" s="47" t="s">
        <v>1233</v>
      </c>
      <c r="M269" s="47">
        <v>2012</v>
      </c>
      <c r="N269" s="33" t="str">
        <f>HYPERLINK("http://services.igi-global.com/resolvedoi/resolve.aspx?doi=10.4018/978-1-61350-116-0")</f>
        <v>http://services.igi-global.com/resolvedoi/resolve.aspx?doi=10.4018/978-1-61350-116-0</v>
      </c>
    </row>
    <row r="270" spans="1:14">
      <c r="A270" s="47">
        <v>269</v>
      </c>
      <c r="B270" s="47" t="s">
        <v>571</v>
      </c>
      <c r="C270" s="47" t="s">
        <v>1271</v>
      </c>
      <c r="D270" s="48" t="s">
        <v>503</v>
      </c>
      <c r="E270" s="48" t="s">
        <v>133</v>
      </c>
      <c r="F270" s="47" t="s">
        <v>134</v>
      </c>
      <c r="G270" s="47" t="s">
        <v>135</v>
      </c>
      <c r="H270" s="47" t="s">
        <v>136</v>
      </c>
      <c r="I270" s="47">
        <v>1</v>
      </c>
      <c r="J270" s="47">
        <v>1</v>
      </c>
      <c r="K270" s="47" t="s">
        <v>137</v>
      </c>
      <c r="L270" s="47" t="s">
        <v>569</v>
      </c>
      <c r="M270" s="47">
        <v>2012</v>
      </c>
      <c r="N270" s="33" t="str">
        <f>HYPERLINK("http://services.igi-global.com/resolvedoi/resolve.aspx?doi=10.4018/978-1-46660-294-6")</f>
        <v>http://services.igi-global.com/resolvedoi/resolve.aspx?doi=10.4018/978-1-46660-294-6</v>
      </c>
    </row>
    <row r="271" spans="1:14">
      <c r="A271" s="47">
        <v>270</v>
      </c>
      <c r="B271" s="47" t="s">
        <v>571</v>
      </c>
      <c r="C271" s="47" t="s">
        <v>1271</v>
      </c>
      <c r="D271" s="48" t="s">
        <v>507</v>
      </c>
      <c r="E271" s="48" t="s">
        <v>1520</v>
      </c>
      <c r="F271" s="47" t="s">
        <v>1521</v>
      </c>
      <c r="G271" s="47" t="s">
        <v>1522</v>
      </c>
      <c r="H271" s="47" t="s">
        <v>1523</v>
      </c>
      <c r="I271" s="47">
        <v>2</v>
      </c>
      <c r="J271" s="47">
        <v>1</v>
      </c>
      <c r="K271" s="47" t="s">
        <v>1524</v>
      </c>
      <c r="L271" s="47" t="s">
        <v>1233</v>
      </c>
      <c r="M271" s="47">
        <v>2012</v>
      </c>
      <c r="N271" s="33" t="str">
        <f>HYPERLINK("http://services.igi-global.com/resolvedoi/resolve.aspx?doi=10.4018/978-1-61520-655-1")</f>
        <v>http://services.igi-global.com/resolvedoi/resolve.aspx?doi=10.4018/978-1-61520-655-1</v>
      </c>
    </row>
    <row r="272" spans="1:14">
      <c r="A272" s="47">
        <v>271</v>
      </c>
      <c r="B272" s="47" t="s">
        <v>571</v>
      </c>
      <c r="C272" s="47" t="s">
        <v>1271</v>
      </c>
      <c r="D272" s="48" t="s">
        <v>971</v>
      </c>
      <c r="E272" s="48" t="s">
        <v>972</v>
      </c>
      <c r="F272" s="47" t="s">
        <v>973</v>
      </c>
      <c r="G272" s="47" t="s">
        <v>974</v>
      </c>
      <c r="H272" s="47" t="s">
        <v>975</v>
      </c>
      <c r="I272" s="47">
        <v>1</v>
      </c>
      <c r="J272" s="47">
        <v>1</v>
      </c>
      <c r="K272" s="47" t="s">
        <v>976</v>
      </c>
      <c r="L272" s="47" t="s">
        <v>569</v>
      </c>
      <c r="M272" s="47">
        <v>2012</v>
      </c>
      <c r="N272" s="33" t="str">
        <f>HYPERLINK("http://services.igi-global.com/resolvedoi/resolve.aspx?doi=10.4018/978-1-61350-086-6")</f>
        <v>http://services.igi-global.com/resolvedoi/resolve.aspx?doi=10.4018/978-1-61350-086-6</v>
      </c>
    </row>
    <row r="273" spans="1:14">
      <c r="A273" s="47">
        <v>272</v>
      </c>
      <c r="B273" s="47" t="s">
        <v>571</v>
      </c>
      <c r="C273" s="47" t="s">
        <v>1271</v>
      </c>
      <c r="D273" s="48" t="s">
        <v>860</v>
      </c>
      <c r="E273" s="48" t="s">
        <v>861</v>
      </c>
      <c r="F273" s="47" t="s">
        <v>862</v>
      </c>
      <c r="G273" s="47" t="s">
        <v>863</v>
      </c>
      <c r="H273" s="47" t="s">
        <v>864</v>
      </c>
      <c r="I273" s="47">
        <v>1</v>
      </c>
      <c r="J273" s="47">
        <v>1</v>
      </c>
      <c r="K273" s="47" t="s">
        <v>865</v>
      </c>
      <c r="L273" s="47" t="s">
        <v>1233</v>
      </c>
      <c r="M273" s="47">
        <v>2012</v>
      </c>
      <c r="N273" s="33" t="str">
        <f>HYPERLINK("http://services.igi-global.com/resolvedoi/resolve.aspx?doi=10.4018/978-1-61350-138-2")</f>
        <v>http://services.igi-global.com/resolvedoi/resolve.aspx?doi=10.4018/978-1-61350-138-2</v>
      </c>
    </row>
    <row r="274" spans="1:14">
      <c r="A274" s="47">
        <v>273</v>
      </c>
      <c r="B274" s="47" t="s">
        <v>571</v>
      </c>
      <c r="C274" s="47" t="s">
        <v>1271</v>
      </c>
      <c r="D274" s="48" t="s">
        <v>530</v>
      </c>
      <c r="E274" s="48" t="s">
        <v>257</v>
      </c>
      <c r="F274" s="47" t="s">
        <v>258</v>
      </c>
      <c r="G274" s="47" t="s">
        <v>259</v>
      </c>
      <c r="H274" s="47" t="s">
        <v>260</v>
      </c>
      <c r="I274" s="47">
        <v>1</v>
      </c>
      <c r="J274" s="47">
        <v>1</v>
      </c>
      <c r="K274" s="47" t="s">
        <v>261</v>
      </c>
      <c r="L274" s="47" t="s">
        <v>569</v>
      </c>
      <c r="M274" s="47">
        <v>2012</v>
      </c>
      <c r="N274" s="33" t="str">
        <f>HYPERLINK("http://services.igi-global.com/resolvedoi/resolve.aspx?doi=10.4018/978-1-46660-161-1")</f>
        <v>http://services.igi-global.com/resolvedoi/resolve.aspx?doi=10.4018/978-1-46660-161-1</v>
      </c>
    </row>
    <row r="275" spans="1:14">
      <c r="A275" s="47">
        <v>274</v>
      </c>
      <c r="B275" s="47" t="s">
        <v>571</v>
      </c>
      <c r="C275" s="47" t="s">
        <v>1271</v>
      </c>
      <c r="D275" s="48" t="s">
        <v>1436</v>
      </c>
      <c r="E275" s="48" t="s">
        <v>1437</v>
      </c>
      <c r="F275" s="47" t="s">
        <v>1438</v>
      </c>
      <c r="G275" s="47" t="s">
        <v>1439</v>
      </c>
      <c r="H275" s="47" t="s">
        <v>1440</v>
      </c>
      <c r="I275" s="47">
        <v>1</v>
      </c>
      <c r="J275" s="47">
        <v>1</v>
      </c>
      <c r="K275" s="47" t="s">
        <v>1232</v>
      </c>
      <c r="L275" s="47" t="s">
        <v>1233</v>
      </c>
      <c r="M275" s="47">
        <v>2012</v>
      </c>
      <c r="N275" s="33" t="str">
        <f>HYPERLINK("http://services.igi-global.com/resolvedoi/resolve.aspx?doi=10.4018/978-1-46661-607-3")</f>
        <v>http://services.igi-global.com/resolvedoi/resolve.aspx?doi=10.4018/978-1-46661-607-3</v>
      </c>
    </row>
    <row r="276" spans="1:14">
      <c r="A276" s="47">
        <v>275</v>
      </c>
      <c r="B276" s="47" t="s">
        <v>571</v>
      </c>
      <c r="C276" s="47" t="s">
        <v>1271</v>
      </c>
      <c r="D276" s="48" t="s">
        <v>1475</v>
      </c>
      <c r="E276" s="48" t="s">
        <v>458</v>
      </c>
      <c r="F276" s="47" t="s">
        <v>459</v>
      </c>
      <c r="G276" s="47" t="s">
        <v>460</v>
      </c>
      <c r="H276" s="47" t="s">
        <v>461</v>
      </c>
      <c r="I276" s="47">
        <v>1</v>
      </c>
      <c r="J276" s="47">
        <v>1</v>
      </c>
      <c r="K276" s="47" t="s">
        <v>462</v>
      </c>
      <c r="L276" s="47" t="s">
        <v>569</v>
      </c>
      <c r="M276" s="47">
        <v>2012</v>
      </c>
      <c r="N276" s="33" t="str">
        <f>HYPERLINK("http://services.igi-global.com/resolvedoi/resolve.aspx?doi=10.4018/978-1-46660-098-0")</f>
        <v>http://services.igi-global.com/resolvedoi/resolve.aspx?doi=10.4018/978-1-46660-098-0</v>
      </c>
    </row>
    <row r="277" spans="1:14">
      <c r="A277" s="47">
        <v>276</v>
      </c>
      <c r="B277" s="47" t="s">
        <v>571</v>
      </c>
      <c r="C277" s="47" t="s">
        <v>1271</v>
      </c>
      <c r="D277" s="48" t="s">
        <v>277</v>
      </c>
      <c r="E277" s="48" t="s">
        <v>278</v>
      </c>
      <c r="F277" s="47" t="s">
        <v>279</v>
      </c>
      <c r="G277" s="47" t="s">
        <v>280</v>
      </c>
      <c r="H277" s="47" t="s">
        <v>281</v>
      </c>
      <c r="I277" s="47">
        <v>1</v>
      </c>
      <c r="J277" s="47">
        <v>1</v>
      </c>
      <c r="K277" s="47" t="s">
        <v>282</v>
      </c>
      <c r="L277" s="47" t="s">
        <v>1233</v>
      </c>
      <c r="M277" s="47">
        <v>2012</v>
      </c>
      <c r="N277" s="33" t="str">
        <f>HYPERLINK("http://services.igi-global.com/resolvedoi/resolve.aspx?doi=10.4018/978-1-46660-173-4")</f>
        <v>http://services.igi-global.com/resolvedoi/resolve.aspx?doi=10.4018/978-1-46660-173-4</v>
      </c>
    </row>
    <row r="278" spans="1:14">
      <c r="A278" s="47">
        <v>277</v>
      </c>
      <c r="B278" s="47" t="s">
        <v>571</v>
      </c>
      <c r="C278" s="47" t="s">
        <v>1271</v>
      </c>
      <c r="D278" s="48" t="s">
        <v>1498</v>
      </c>
      <c r="E278" s="48" t="s">
        <v>1499</v>
      </c>
      <c r="F278" s="47" t="s">
        <v>1500</v>
      </c>
      <c r="G278" s="47" t="s">
        <v>1501</v>
      </c>
      <c r="H278" s="47" t="s">
        <v>1502</v>
      </c>
      <c r="I278" s="47">
        <v>1</v>
      </c>
      <c r="J278" s="47">
        <v>1</v>
      </c>
      <c r="K278" s="47" t="s">
        <v>1503</v>
      </c>
      <c r="L278" s="47" t="s">
        <v>569</v>
      </c>
      <c r="M278" s="47">
        <v>2012</v>
      </c>
      <c r="N278" s="33" t="str">
        <f>HYPERLINK("http://services.igi-global.com/resolvedoi/resolve.aspx?doi=10.4018/978-1-46661-643-1")</f>
        <v>http://services.igi-global.com/resolvedoi/resolve.aspx?doi=10.4018/978-1-46661-643-1</v>
      </c>
    </row>
    <row r="279" spans="1:14">
      <c r="A279" s="47">
        <v>278</v>
      </c>
      <c r="B279" s="47" t="s">
        <v>571</v>
      </c>
      <c r="C279" s="47" t="s">
        <v>1271</v>
      </c>
      <c r="D279" s="48" t="s">
        <v>513</v>
      </c>
      <c r="E279" s="48" t="s">
        <v>1388</v>
      </c>
      <c r="F279" s="47" t="s">
        <v>1389</v>
      </c>
      <c r="G279" s="47" t="s">
        <v>1390</v>
      </c>
      <c r="H279" s="47" t="s">
        <v>1391</v>
      </c>
      <c r="I279" s="47">
        <v>1</v>
      </c>
      <c r="J279" s="47">
        <v>1</v>
      </c>
      <c r="K279" s="47" t="s">
        <v>1392</v>
      </c>
      <c r="L279" s="47" t="s">
        <v>569</v>
      </c>
      <c r="M279" s="47">
        <v>2012</v>
      </c>
      <c r="N279" s="33" t="str">
        <f>HYPERLINK("http://services.igi-global.com/resolvedoi/resolve.aspx?doi=10.4018/978-1-46661-580-9")</f>
        <v>http://services.igi-global.com/resolvedoi/resolve.aspx?doi=10.4018/978-1-46661-580-9</v>
      </c>
    </row>
    <row r="280" spans="1:14">
      <c r="A280" s="47">
        <v>279</v>
      </c>
      <c r="B280" s="47" t="s">
        <v>571</v>
      </c>
      <c r="C280" s="47" t="s">
        <v>1271</v>
      </c>
      <c r="D280" s="48" t="s">
        <v>127</v>
      </c>
      <c r="E280" s="48" t="s">
        <v>128</v>
      </c>
      <c r="F280" s="47" t="s">
        <v>129</v>
      </c>
      <c r="G280" s="47" t="s">
        <v>130</v>
      </c>
      <c r="H280" s="47" t="s">
        <v>131</v>
      </c>
      <c r="I280" s="47">
        <v>1</v>
      </c>
      <c r="J280" s="47">
        <v>1</v>
      </c>
      <c r="K280" s="47" t="s">
        <v>132</v>
      </c>
      <c r="L280" s="47" t="s">
        <v>1233</v>
      </c>
      <c r="M280" s="47">
        <v>2012</v>
      </c>
      <c r="N280" s="33" t="str">
        <f>HYPERLINK("http://services.igi-global.com/resolvedoi/resolve.aspx?doi=10.4018/978-1-46660-291-5")</f>
        <v>http://services.igi-global.com/resolvedoi/resolve.aspx?doi=10.4018/978-1-46660-291-5</v>
      </c>
    </row>
    <row r="281" spans="1:14">
      <c r="A281" s="47">
        <v>280</v>
      </c>
      <c r="B281" s="47" t="s">
        <v>571</v>
      </c>
      <c r="C281" s="47" t="s">
        <v>1271</v>
      </c>
      <c r="D281" s="48" t="s">
        <v>1475</v>
      </c>
      <c r="E281" s="48" t="s">
        <v>1551</v>
      </c>
      <c r="F281" s="47" t="s">
        <v>1552</v>
      </c>
      <c r="G281" s="47" t="s">
        <v>1553</v>
      </c>
      <c r="H281" s="47" t="s">
        <v>1554</v>
      </c>
      <c r="I281" s="47">
        <v>1</v>
      </c>
      <c r="J281" s="47">
        <v>1</v>
      </c>
      <c r="K281" s="47" t="s">
        <v>1555</v>
      </c>
      <c r="L281" s="47" t="s">
        <v>569</v>
      </c>
      <c r="M281" s="47">
        <v>2012</v>
      </c>
      <c r="N281" s="33" t="str">
        <f>HYPERLINK("http://services.igi-global.com/resolvedoi/resolve.aspx?doi=10.4018/978-1-46660-897-9")</f>
        <v>http://services.igi-global.com/resolvedoi/resolve.aspx?doi=10.4018/978-1-46660-897-9</v>
      </c>
    </row>
    <row r="282" spans="1:14">
      <c r="A282" s="47">
        <v>281</v>
      </c>
      <c r="B282" s="47" t="s">
        <v>571</v>
      </c>
      <c r="C282" s="47" t="s">
        <v>1271</v>
      </c>
      <c r="D282" s="48" t="s">
        <v>492</v>
      </c>
      <c r="E282" s="48" t="s">
        <v>791</v>
      </c>
      <c r="F282" s="47" t="s">
        <v>792</v>
      </c>
      <c r="G282" s="47" t="s">
        <v>793</v>
      </c>
      <c r="H282" s="47" t="s">
        <v>794</v>
      </c>
      <c r="I282" s="47">
        <v>1</v>
      </c>
      <c r="J282" s="47">
        <v>1</v>
      </c>
      <c r="K282" s="47" t="s">
        <v>795</v>
      </c>
      <c r="L282" s="47" t="s">
        <v>568</v>
      </c>
      <c r="M282" s="47">
        <v>2012</v>
      </c>
      <c r="N282" s="33" t="str">
        <f>HYPERLINK("http://services.igi-global.com/resolvedoi/resolve.aspx?doi=10.4018/978-1-60960-585-8")</f>
        <v>http://services.igi-global.com/resolvedoi/resolve.aspx?doi=10.4018/978-1-60960-585-8</v>
      </c>
    </row>
    <row r="283" spans="1:14">
      <c r="A283" s="47">
        <v>282</v>
      </c>
      <c r="B283" s="47" t="s">
        <v>571</v>
      </c>
      <c r="C283" s="47" t="s">
        <v>1271</v>
      </c>
      <c r="D283" s="48" t="s">
        <v>1525</v>
      </c>
      <c r="E283" s="48" t="s">
        <v>1566</v>
      </c>
      <c r="F283" s="47" t="s">
        <v>1567</v>
      </c>
      <c r="G283" s="47" t="s">
        <v>1568</v>
      </c>
      <c r="H283" s="47" t="s">
        <v>1569</v>
      </c>
      <c r="I283" s="47">
        <v>1</v>
      </c>
      <c r="J283" s="47">
        <v>1</v>
      </c>
      <c r="K283" s="47" t="s">
        <v>1570</v>
      </c>
      <c r="L283" s="47" t="s">
        <v>569</v>
      </c>
      <c r="M283" s="47">
        <v>2012</v>
      </c>
      <c r="N283" s="33" t="str">
        <f>HYPERLINK("http://services.igi-global.com/resolvedoi/resolve.aspx?doi=10.4018/978-1-46660-906-8")</f>
        <v>http://services.igi-global.com/resolvedoi/resolve.aspx?doi=10.4018/978-1-46660-906-8</v>
      </c>
    </row>
    <row r="284" spans="1:14">
      <c r="A284" s="47">
        <v>283</v>
      </c>
      <c r="B284" s="47" t="s">
        <v>571</v>
      </c>
      <c r="C284" s="47" t="s">
        <v>1271</v>
      </c>
      <c r="D284" s="48" t="s">
        <v>1272</v>
      </c>
      <c r="E284" s="48" t="s">
        <v>1273</v>
      </c>
      <c r="F284" s="47" t="s">
        <v>1274</v>
      </c>
      <c r="G284" s="47" t="s">
        <v>1275</v>
      </c>
      <c r="H284" s="47" t="s">
        <v>1276</v>
      </c>
      <c r="I284" s="47">
        <v>1</v>
      </c>
      <c r="J284" s="47">
        <v>1</v>
      </c>
      <c r="K284" s="47" t="s">
        <v>1277</v>
      </c>
      <c r="L284" s="47" t="s">
        <v>569</v>
      </c>
      <c r="M284" s="47">
        <v>2012</v>
      </c>
      <c r="N284" s="33" t="str">
        <f>HYPERLINK("http://services.igi-global.com/resolvedoi/resolve.aspx?doi=10.4018/978-1-46661-767-4")</f>
        <v>http://services.igi-global.com/resolvedoi/resolve.aspx?doi=10.4018/978-1-46661-767-4</v>
      </c>
    </row>
    <row r="285" spans="1:14">
      <c r="A285" s="47">
        <v>284</v>
      </c>
      <c r="B285" s="47" t="s">
        <v>571</v>
      </c>
      <c r="C285" s="47" t="s">
        <v>1271</v>
      </c>
      <c r="D285" s="48" t="s">
        <v>435</v>
      </c>
      <c r="E285" s="48" t="s">
        <v>436</v>
      </c>
      <c r="F285" s="47" t="s">
        <v>437</v>
      </c>
      <c r="G285" s="47" t="s">
        <v>438</v>
      </c>
      <c r="H285" s="47" t="s">
        <v>439</v>
      </c>
      <c r="I285" s="47">
        <v>1</v>
      </c>
      <c r="J285" s="47">
        <v>1</v>
      </c>
      <c r="K285" s="47" t="s">
        <v>440</v>
      </c>
      <c r="L285" s="47" t="s">
        <v>1233</v>
      </c>
      <c r="M285" s="47">
        <v>2012</v>
      </c>
      <c r="N285" s="33" t="str">
        <f>HYPERLINK("http://services.igi-global.com/resolvedoi/resolve.aspx?doi=10.4018/978-1-46660-083-6")</f>
        <v>http://services.igi-global.com/resolvedoi/resolve.aspx?doi=10.4018/978-1-46660-083-6</v>
      </c>
    </row>
    <row r="286" spans="1:14">
      <c r="A286" s="47">
        <v>285</v>
      </c>
      <c r="B286" s="47" t="s">
        <v>571</v>
      </c>
      <c r="C286" s="47" t="s">
        <v>1271</v>
      </c>
      <c r="D286" s="48" t="s">
        <v>1027</v>
      </c>
      <c r="E286" s="48" t="s">
        <v>1028</v>
      </c>
      <c r="F286" s="47" t="s">
        <v>1029</v>
      </c>
      <c r="G286" s="47" t="s">
        <v>1030</v>
      </c>
      <c r="H286" s="47" t="s">
        <v>1031</v>
      </c>
      <c r="I286" s="47">
        <v>1</v>
      </c>
      <c r="J286" s="47">
        <v>1</v>
      </c>
      <c r="K286" s="47" t="s">
        <v>1032</v>
      </c>
      <c r="L286" s="47" t="s">
        <v>569</v>
      </c>
      <c r="M286" s="47">
        <v>2011</v>
      </c>
      <c r="N286" s="33" t="str">
        <f>HYPERLINK("http://services.igi-global.com/resolvedoi/resolve.aspx?doi=10.4018/978-1-60960-513-1")</f>
        <v>http://services.igi-global.com/resolvedoi/resolve.aspx?doi=10.4018/978-1-60960-513-1</v>
      </c>
    </row>
    <row r="287" spans="1:14">
      <c r="A287" s="47">
        <v>286</v>
      </c>
      <c r="B287" s="47" t="s">
        <v>571</v>
      </c>
      <c r="C287" s="47" t="s">
        <v>1271</v>
      </c>
      <c r="D287" s="48" t="s">
        <v>490</v>
      </c>
      <c r="E287" s="48" t="s">
        <v>1166</v>
      </c>
      <c r="F287" s="47" t="s">
        <v>1167</v>
      </c>
      <c r="G287" s="47" t="s">
        <v>1168</v>
      </c>
      <c r="H287" s="47" t="s">
        <v>1169</v>
      </c>
      <c r="I287" s="47">
        <v>1</v>
      </c>
      <c r="J287" s="47">
        <v>1</v>
      </c>
      <c r="K287" s="47" t="s">
        <v>1170</v>
      </c>
      <c r="L287" s="47" t="s">
        <v>569</v>
      </c>
      <c r="M287" s="47">
        <v>2010</v>
      </c>
      <c r="N287" s="33" t="str">
        <f>HYPERLINK("http://services.igi-global.com/resolvedoi/resolve.aspx?doi=10.4018/978-1-59904-681-5")</f>
        <v>http://services.igi-global.com/resolvedoi/resolve.aspx?doi=10.4018/978-1-59904-681-5</v>
      </c>
    </row>
    <row r="288" spans="1:14">
      <c r="A288" s="47">
        <v>287</v>
      </c>
      <c r="B288" s="47" t="s">
        <v>571</v>
      </c>
      <c r="C288" s="47" t="s">
        <v>1271</v>
      </c>
      <c r="D288" s="48" t="s">
        <v>1097</v>
      </c>
      <c r="E288" s="48" t="s">
        <v>1098</v>
      </c>
      <c r="F288" s="47" t="s">
        <v>1099</v>
      </c>
      <c r="G288" s="47" t="s">
        <v>1100</v>
      </c>
      <c r="H288" s="47" t="s">
        <v>1101</v>
      </c>
      <c r="I288" s="47">
        <v>1</v>
      </c>
      <c r="J288" s="47">
        <v>1</v>
      </c>
      <c r="K288" s="47" t="s">
        <v>1102</v>
      </c>
      <c r="L288" s="47" t="s">
        <v>1233</v>
      </c>
      <c r="M288" s="47">
        <v>2010</v>
      </c>
      <c r="N288" s="33" t="str">
        <f>HYPERLINK("http://services.igi-global.com/resolvedoi/resolve.aspx?doi=10.4018/978-1-60566-864-2")</f>
        <v>http://services.igi-global.com/resolvedoi/resolve.aspx?doi=10.4018/978-1-60566-864-2</v>
      </c>
    </row>
    <row r="289" spans="1:14">
      <c r="A289" s="47">
        <v>288</v>
      </c>
      <c r="B289" s="47" t="s">
        <v>571</v>
      </c>
      <c r="C289" s="47" t="s">
        <v>1271</v>
      </c>
      <c r="D289" s="48" t="s">
        <v>490</v>
      </c>
      <c r="E289" s="48" t="s">
        <v>1118</v>
      </c>
      <c r="F289" s="47" t="s">
        <v>1119</v>
      </c>
      <c r="G289" s="47" t="s">
        <v>1120</v>
      </c>
      <c r="H289" s="47" t="s">
        <v>1121</v>
      </c>
      <c r="I289" s="47">
        <v>1</v>
      </c>
      <c r="J289" s="47">
        <v>1</v>
      </c>
      <c r="K289" s="47" t="s">
        <v>1122</v>
      </c>
      <c r="L289" s="47" t="s">
        <v>1233</v>
      </c>
      <c r="M289" s="47">
        <v>2010</v>
      </c>
      <c r="N289" s="33" t="str">
        <f>HYPERLINK("http://services.igi-global.com/resolvedoi/resolve.aspx?doi=10.4018/978-1-61520-649-0")</f>
        <v>http://services.igi-global.com/resolvedoi/resolve.aspx?doi=10.4018/978-1-61520-649-0</v>
      </c>
    </row>
    <row r="290" spans="1:14">
      <c r="A290" s="47">
        <v>289</v>
      </c>
      <c r="B290" s="47" t="s">
        <v>571</v>
      </c>
      <c r="C290" s="47" t="s">
        <v>1271</v>
      </c>
      <c r="D290" s="48" t="s">
        <v>490</v>
      </c>
      <c r="E290" s="48" t="s">
        <v>1208</v>
      </c>
      <c r="F290" s="47" t="s">
        <v>1209</v>
      </c>
      <c r="G290" s="47" t="s">
        <v>1210</v>
      </c>
      <c r="H290" s="47" t="s">
        <v>1211</v>
      </c>
      <c r="I290" s="47">
        <v>1</v>
      </c>
      <c r="J290" s="47">
        <v>1</v>
      </c>
      <c r="K290" s="47" t="s">
        <v>1212</v>
      </c>
      <c r="L290" s="47" t="s">
        <v>569</v>
      </c>
      <c r="M290" s="47">
        <v>2009</v>
      </c>
      <c r="N290" s="33" t="str">
        <f>HYPERLINK("http://services.igi-global.com/resolvedoi/resolve.aspx?doi=10.4018/978-1-59904-699-0")</f>
        <v>http://services.igi-global.com/resolvedoi/resolve.aspx?doi=10.4018/978-1-59904-699-0</v>
      </c>
    </row>
    <row r="291" spans="1:14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</sheetData>
  <phoneticPr fontId="3" type="noConversion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>
    <oddHeader>&amp;L附件：電子書單價清單</oddHeader>
    <oddFooter>第 &amp;P 頁，共 &amp;N 頁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78"/>
  <sheetViews>
    <sheetView workbookViewId="0"/>
  </sheetViews>
  <sheetFormatPr defaultColWidth="9" defaultRowHeight="16.2"/>
  <cols>
    <col min="1" max="1" width="6.77734375" style="34" customWidth="1"/>
    <col min="2" max="2" width="22.88671875" style="34" hidden="1" customWidth="1"/>
    <col min="3" max="3" width="22.88671875" style="34" customWidth="1"/>
    <col min="4" max="4" width="18.109375" style="34" hidden="1" customWidth="1"/>
    <col min="5" max="5" width="16.33203125" style="34" hidden="1" customWidth="1"/>
    <col min="6" max="6" width="17.88671875" style="34" customWidth="1"/>
    <col min="7" max="7" width="17" style="34" hidden="1" customWidth="1"/>
    <col min="8" max="8" width="68.77734375" style="34" customWidth="1"/>
    <col min="9" max="10" width="5.77734375" style="34" hidden="1" customWidth="1"/>
    <col min="11" max="11" width="25.88671875" style="34" customWidth="1"/>
    <col min="12" max="12" width="39.109375" style="34" hidden="1" customWidth="1"/>
    <col min="13" max="13" width="8.77734375" style="34" customWidth="1"/>
    <col min="14" max="14" width="71.21875" style="34" customWidth="1"/>
    <col min="15" max="16384" width="9" style="34"/>
  </cols>
  <sheetData>
    <row r="1" spans="1:14" s="30" customFormat="1">
      <c r="A1" s="39" t="s">
        <v>2545</v>
      </c>
      <c r="B1" s="39" t="s">
        <v>2546</v>
      </c>
      <c r="C1" s="39" t="s">
        <v>2547</v>
      </c>
      <c r="D1" s="40" t="s">
        <v>1225</v>
      </c>
      <c r="E1" s="40" t="s">
        <v>1226</v>
      </c>
      <c r="F1" s="39" t="s">
        <v>2548</v>
      </c>
      <c r="G1" s="39" t="s">
        <v>544</v>
      </c>
      <c r="H1" s="39" t="s">
        <v>2549</v>
      </c>
      <c r="I1" s="39" t="s">
        <v>545</v>
      </c>
      <c r="J1" s="39" t="s">
        <v>2550</v>
      </c>
      <c r="K1" s="39" t="s">
        <v>1222</v>
      </c>
      <c r="L1" s="39" t="s">
        <v>2551</v>
      </c>
      <c r="M1" s="39" t="s">
        <v>2552</v>
      </c>
      <c r="N1" s="39" t="s">
        <v>2553</v>
      </c>
    </row>
    <row r="2" spans="1:14">
      <c r="A2" s="31">
        <v>1</v>
      </c>
      <c r="B2" s="31" t="s">
        <v>571</v>
      </c>
      <c r="C2" s="31" t="s">
        <v>567</v>
      </c>
      <c r="D2" s="32" t="s">
        <v>1637</v>
      </c>
      <c r="E2" s="32" t="s">
        <v>2554</v>
      </c>
      <c r="F2" s="31" t="s">
        <v>2555</v>
      </c>
      <c r="G2" s="31" t="s">
        <v>2556</v>
      </c>
      <c r="H2" s="31" t="s">
        <v>2557</v>
      </c>
      <c r="I2" s="31">
        <v>1</v>
      </c>
      <c r="J2" s="31">
        <v>1</v>
      </c>
      <c r="K2" s="31" t="s">
        <v>2558</v>
      </c>
      <c r="L2" s="31" t="s">
        <v>568</v>
      </c>
      <c r="M2" s="31">
        <v>2013</v>
      </c>
      <c r="N2" s="33" t="str">
        <f>HYPERLINK("http://services.igi-global.com/resolvedoi/resolve.aspx?doi=10.4018/978-1-46662-199-2")</f>
        <v>http://services.igi-global.com/resolvedoi/resolve.aspx?doi=10.4018/978-1-46662-199-2</v>
      </c>
    </row>
    <row r="3" spans="1:14">
      <c r="A3" s="31">
        <v>2</v>
      </c>
      <c r="B3" s="31" t="s">
        <v>571</v>
      </c>
      <c r="C3" s="31" t="s">
        <v>567</v>
      </c>
      <c r="D3" s="32" t="s">
        <v>2768</v>
      </c>
      <c r="E3" s="32" t="s">
        <v>2769</v>
      </c>
      <c r="F3" s="31" t="s">
        <v>2770</v>
      </c>
      <c r="G3" s="31" t="s">
        <v>2771</v>
      </c>
      <c r="H3" s="31" t="s">
        <v>2772</v>
      </c>
      <c r="I3" s="31">
        <v>1</v>
      </c>
      <c r="J3" s="31">
        <v>1</v>
      </c>
      <c r="K3" s="31" t="s">
        <v>2773</v>
      </c>
      <c r="L3" s="31" t="s">
        <v>568</v>
      </c>
      <c r="M3" s="31">
        <v>2013</v>
      </c>
      <c r="N3" s="33" t="str">
        <f>HYPERLINK("http://services.igi-global.com/resolvedoi/resolve.aspx?doi=10.4018/978-1-46663-006-2")</f>
        <v>http://services.igi-global.com/resolvedoi/resolve.aspx?doi=10.4018/978-1-46663-006-2</v>
      </c>
    </row>
    <row r="4" spans="1:14">
      <c r="A4" s="31">
        <v>3</v>
      </c>
      <c r="B4" s="31" t="s">
        <v>571</v>
      </c>
      <c r="C4" s="31" t="s">
        <v>567</v>
      </c>
      <c r="D4" s="32" t="s">
        <v>2113</v>
      </c>
      <c r="E4" s="32" t="s">
        <v>2586</v>
      </c>
      <c r="F4" s="31" t="s">
        <v>2587</v>
      </c>
      <c r="G4" s="31" t="s">
        <v>2588</v>
      </c>
      <c r="H4" s="31" t="s">
        <v>2589</v>
      </c>
      <c r="I4" s="31">
        <v>1</v>
      </c>
      <c r="J4" s="31">
        <v>1</v>
      </c>
      <c r="K4" s="31" t="s">
        <v>2590</v>
      </c>
      <c r="L4" s="31" t="s">
        <v>568</v>
      </c>
      <c r="M4" s="31">
        <v>2013</v>
      </c>
      <c r="N4" s="33" t="str">
        <f>HYPERLINK("http://services.igi-global.com/resolvedoi/resolve.aspx?doi=10.4018/978-1-46662-220-3")</f>
        <v>http://services.igi-global.com/resolvedoi/resolve.aspx?doi=10.4018/978-1-46662-220-3</v>
      </c>
    </row>
    <row r="5" spans="1:14">
      <c r="A5" s="31">
        <v>4</v>
      </c>
      <c r="B5" s="31" t="s">
        <v>571</v>
      </c>
      <c r="C5" s="31" t="s">
        <v>567</v>
      </c>
      <c r="D5" s="32" t="s">
        <v>1637</v>
      </c>
      <c r="E5" s="32" t="s">
        <v>2676</v>
      </c>
      <c r="F5" s="31" t="s">
        <v>2677</v>
      </c>
      <c r="G5" s="31" t="s">
        <v>2678</v>
      </c>
      <c r="H5" s="31" t="s">
        <v>2679</v>
      </c>
      <c r="I5" s="31">
        <v>1</v>
      </c>
      <c r="J5" s="31">
        <v>1</v>
      </c>
      <c r="K5" s="31" t="s">
        <v>2680</v>
      </c>
      <c r="L5" s="31" t="s">
        <v>568</v>
      </c>
      <c r="M5" s="31">
        <v>2013</v>
      </c>
      <c r="N5" s="33" t="str">
        <f>HYPERLINK("http://services.igi-global.com/resolvedoi/resolve.aspx?doi=10.4018/978-1-46664-062-7")</f>
        <v>http://services.igi-global.com/resolvedoi/resolve.aspx?doi=10.4018/978-1-46664-062-7</v>
      </c>
    </row>
    <row r="6" spans="1:14">
      <c r="A6" s="31">
        <v>5</v>
      </c>
      <c r="B6" s="31" t="s">
        <v>571</v>
      </c>
      <c r="C6" s="31" t="s">
        <v>567</v>
      </c>
      <c r="D6" s="32" t="s">
        <v>2661</v>
      </c>
      <c r="E6" s="32" t="s">
        <v>2662</v>
      </c>
      <c r="F6" s="31" t="s">
        <v>2663</v>
      </c>
      <c r="G6" s="31" t="s">
        <v>2664</v>
      </c>
      <c r="H6" s="31" t="s">
        <v>2665</v>
      </c>
      <c r="I6" s="31">
        <v>1</v>
      </c>
      <c r="J6" s="31">
        <v>1</v>
      </c>
      <c r="K6" s="31" t="s">
        <v>2666</v>
      </c>
      <c r="L6" s="31" t="s">
        <v>568</v>
      </c>
      <c r="M6" s="31">
        <v>2013</v>
      </c>
      <c r="N6" s="33" t="str">
        <f>HYPERLINK("http://services.igi-global.com/resolvedoi/resolve.aspx?doi=10.4018/978-1-46662-952-3")</f>
        <v>http://services.igi-global.com/resolvedoi/resolve.aspx?doi=10.4018/978-1-46662-952-3</v>
      </c>
    </row>
    <row r="7" spans="1:14">
      <c r="A7" s="31">
        <v>6</v>
      </c>
      <c r="B7" s="31" t="s">
        <v>571</v>
      </c>
      <c r="C7" s="31" t="s">
        <v>567</v>
      </c>
      <c r="D7" s="32" t="s">
        <v>2113</v>
      </c>
      <c r="E7" s="32" t="s">
        <v>2750</v>
      </c>
      <c r="F7" s="31" t="s">
        <v>2751</v>
      </c>
      <c r="G7" s="31" t="s">
        <v>2752</v>
      </c>
      <c r="H7" s="31" t="s">
        <v>2753</v>
      </c>
      <c r="I7" s="31">
        <v>4</v>
      </c>
      <c r="J7" s="31">
        <v>1</v>
      </c>
      <c r="K7" s="31" t="s">
        <v>2754</v>
      </c>
      <c r="L7" s="31" t="s">
        <v>568</v>
      </c>
      <c r="M7" s="31">
        <v>2013</v>
      </c>
      <c r="N7" s="33" t="str">
        <f>HYPERLINK("http://services.igi-global.com/resolvedoi/resolve.aspx?doi=10.4018/978-1-46663-886-0")</f>
        <v>http://services.igi-global.com/resolvedoi/resolve.aspx?doi=10.4018/978-1-46663-886-0</v>
      </c>
    </row>
    <row r="8" spans="1:14">
      <c r="A8" s="31">
        <v>7</v>
      </c>
      <c r="B8" s="31" t="s">
        <v>571</v>
      </c>
      <c r="C8" s="31" t="s">
        <v>567</v>
      </c>
      <c r="D8" s="32">
        <v>658.7</v>
      </c>
      <c r="E8" s="32" t="s">
        <v>2729</v>
      </c>
      <c r="F8" s="31" t="s">
        <v>2730</v>
      </c>
      <c r="G8" s="31" t="s">
        <v>2731</v>
      </c>
      <c r="H8" s="31" t="s">
        <v>2732</v>
      </c>
      <c r="I8" s="31">
        <v>1</v>
      </c>
      <c r="J8" s="31">
        <v>1</v>
      </c>
      <c r="K8" s="31" t="s">
        <v>2733</v>
      </c>
      <c r="L8" s="31" t="s">
        <v>568</v>
      </c>
      <c r="M8" s="31">
        <v>2013</v>
      </c>
      <c r="N8" s="33" t="str">
        <f>HYPERLINK("http://services.igi-global.com/resolvedoi/resolve.aspx?doi=10.4018/978-1-46662-008-7")</f>
        <v>http://services.igi-global.com/resolvedoi/resolve.aspx?doi=10.4018/978-1-46662-008-7</v>
      </c>
    </row>
    <row r="9" spans="1:14">
      <c r="A9" s="31">
        <v>8</v>
      </c>
      <c r="B9" s="31" t="s">
        <v>571</v>
      </c>
      <c r="C9" s="31" t="s">
        <v>567</v>
      </c>
      <c r="D9" s="32" t="s">
        <v>2113</v>
      </c>
      <c r="E9" s="32" t="s">
        <v>2563</v>
      </c>
      <c r="F9" s="31" t="s">
        <v>2564</v>
      </c>
      <c r="G9" s="31" t="s">
        <v>2565</v>
      </c>
      <c r="H9" s="31" t="s">
        <v>2566</v>
      </c>
      <c r="I9" s="31">
        <v>1</v>
      </c>
      <c r="J9" s="31">
        <v>1</v>
      </c>
      <c r="K9" s="31" t="s">
        <v>2567</v>
      </c>
      <c r="L9" s="31" t="s">
        <v>568</v>
      </c>
      <c r="M9" s="31">
        <v>2013</v>
      </c>
      <c r="N9" s="33" t="str">
        <f>HYPERLINK("http://services.igi-global.com/resolvedoi/resolve.aspx?doi=10.4018/978-1-46662-934-9")</f>
        <v>http://services.igi-global.com/resolvedoi/resolve.aspx?doi=10.4018/978-1-46662-934-9</v>
      </c>
    </row>
    <row r="10" spans="1:14">
      <c r="A10" s="31">
        <v>9</v>
      </c>
      <c r="B10" s="31" t="s">
        <v>571</v>
      </c>
      <c r="C10" s="31" t="s">
        <v>567</v>
      </c>
      <c r="D10" s="32" t="s">
        <v>2113</v>
      </c>
      <c r="E10" s="32" t="s">
        <v>2687</v>
      </c>
      <c r="F10" s="31" t="s">
        <v>2688</v>
      </c>
      <c r="G10" s="31" t="s">
        <v>2689</v>
      </c>
      <c r="H10" s="31" t="s">
        <v>2690</v>
      </c>
      <c r="I10" s="31">
        <v>1</v>
      </c>
      <c r="J10" s="31">
        <v>1</v>
      </c>
      <c r="K10" s="31" t="s">
        <v>2691</v>
      </c>
      <c r="L10" s="31" t="s">
        <v>568</v>
      </c>
      <c r="M10" s="31">
        <v>2013</v>
      </c>
      <c r="N10" s="33" t="str">
        <f>HYPERLINK("http://services.igi-global.com/resolvedoi/resolve.aspx?doi=10.4018/978-1-46662-512-9")</f>
        <v>http://services.igi-global.com/resolvedoi/resolve.aspx?doi=10.4018/978-1-46662-512-9</v>
      </c>
    </row>
    <row r="11" spans="1:14">
      <c r="A11" s="31">
        <v>10</v>
      </c>
      <c r="B11" s="31" t="s">
        <v>571</v>
      </c>
      <c r="C11" s="31" t="s">
        <v>567</v>
      </c>
      <c r="D11" s="32" t="s">
        <v>2609</v>
      </c>
      <c r="E11" s="32" t="s">
        <v>2610</v>
      </c>
      <c r="F11" s="31" t="s">
        <v>2611</v>
      </c>
      <c r="G11" s="31" t="s">
        <v>2612</v>
      </c>
      <c r="H11" s="31" t="s">
        <v>2613</v>
      </c>
      <c r="I11" s="31">
        <v>1</v>
      </c>
      <c r="J11" s="31">
        <v>1</v>
      </c>
      <c r="K11" s="31" t="s">
        <v>572</v>
      </c>
      <c r="L11" s="31" t="s">
        <v>568</v>
      </c>
      <c r="M11" s="31">
        <v>2013</v>
      </c>
      <c r="N11" s="33" t="str">
        <f>HYPERLINK("http://services.igi-global.com/resolvedoi/resolve.aspx?doi=10.4018/978-1-46662-464-1")</f>
        <v>http://services.igi-global.com/resolvedoi/resolve.aspx?doi=10.4018/978-1-46662-464-1</v>
      </c>
    </row>
    <row r="12" spans="1:14">
      <c r="A12" s="31">
        <v>11</v>
      </c>
      <c r="B12" s="31" t="s">
        <v>571</v>
      </c>
      <c r="C12" s="31" t="s">
        <v>567</v>
      </c>
      <c r="D12" s="32" t="s">
        <v>1637</v>
      </c>
      <c r="E12" s="32" t="s">
        <v>2755</v>
      </c>
      <c r="F12" s="31" t="s">
        <v>2756</v>
      </c>
      <c r="G12" s="31" t="s">
        <v>2757</v>
      </c>
      <c r="H12" s="31" t="s">
        <v>2758</v>
      </c>
      <c r="I12" s="31">
        <v>1</v>
      </c>
      <c r="J12" s="31">
        <v>1</v>
      </c>
      <c r="K12" s="31" t="s">
        <v>579</v>
      </c>
      <c r="L12" s="31" t="s">
        <v>568</v>
      </c>
      <c r="M12" s="31">
        <v>2013</v>
      </c>
      <c r="N12" s="33" t="str">
        <f>HYPERLINK("http://services.igi-global.com/resolvedoi/resolve.aspx?doi=10.4018/978-1-46663-664-4")</f>
        <v>http://services.igi-global.com/resolvedoi/resolve.aspx?doi=10.4018/978-1-46663-664-4</v>
      </c>
    </row>
    <row r="13" spans="1:14">
      <c r="A13" s="31">
        <v>12</v>
      </c>
      <c r="B13" s="31" t="s">
        <v>571</v>
      </c>
      <c r="C13" s="31" t="s">
        <v>567</v>
      </c>
      <c r="D13" s="32" t="s">
        <v>2759</v>
      </c>
      <c r="E13" s="32" t="s">
        <v>2760</v>
      </c>
      <c r="F13" s="31" t="s">
        <v>2761</v>
      </c>
      <c r="G13" s="31" t="s">
        <v>2762</v>
      </c>
      <c r="H13" s="31" t="s">
        <v>2763</v>
      </c>
      <c r="I13" s="31">
        <v>3</v>
      </c>
      <c r="J13" s="31">
        <v>1</v>
      </c>
      <c r="K13" s="31" t="s">
        <v>2754</v>
      </c>
      <c r="L13" s="31" t="s">
        <v>568</v>
      </c>
      <c r="M13" s="31">
        <v>2013</v>
      </c>
      <c r="N13" s="33" t="str">
        <f>HYPERLINK("http://services.igi-global.com/resolvedoi/resolve.aspx?doi=10.4018/978-1-46662-625-6")</f>
        <v>http://services.igi-global.com/resolvedoi/resolve.aspx?doi=10.4018/978-1-46662-625-6</v>
      </c>
    </row>
    <row r="14" spans="1:14">
      <c r="A14" s="31">
        <v>13</v>
      </c>
      <c r="B14" s="31" t="s">
        <v>571</v>
      </c>
      <c r="C14" s="31" t="s">
        <v>567</v>
      </c>
      <c r="D14" s="32" t="s">
        <v>2764</v>
      </c>
      <c r="E14" s="32" t="s">
        <v>2760</v>
      </c>
      <c r="F14" s="31" t="s">
        <v>2765</v>
      </c>
      <c r="G14" s="31" t="s">
        <v>2766</v>
      </c>
      <c r="H14" s="31" t="s">
        <v>2767</v>
      </c>
      <c r="I14" s="31">
        <v>1</v>
      </c>
      <c r="J14" s="31">
        <v>1</v>
      </c>
      <c r="K14" s="31" t="s">
        <v>98</v>
      </c>
      <c r="L14" s="31" t="s">
        <v>568</v>
      </c>
      <c r="M14" s="31">
        <v>2013</v>
      </c>
      <c r="N14" s="33" t="str">
        <f>HYPERLINK("http://services.igi-global.com/resolvedoi/resolve.aspx?doi=10.4018/978-1-46662-773-4")</f>
        <v>http://services.igi-global.com/resolvedoi/resolve.aspx?doi=10.4018/978-1-46662-773-4</v>
      </c>
    </row>
    <row r="15" spans="1:14">
      <c r="A15" s="31">
        <v>14</v>
      </c>
      <c r="B15" s="31" t="s">
        <v>571</v>
      </c>
      <c r="C15" s="31" t="s">
        <v>567</v>
      </c>
      <c r="D15" s="32" t="s">
        <v>2646</v>
      </c>
      <c r="E15" s="32" t="s">
        <v>2647</v>
      </c>
      <c r="F15" s="31" t="s">
        <v>2648</v>
      </c>
      <c r="G15" s="31" t="s">
        <v>2649</v>
      </c>
      <c r="H15" s="31" t="s">
        <v>2650</v>
      </c>
      <c r="I15" s="31">
        <v>1</v>
      </c>
      <c r="J15" s="31">
        <v>1</v>
      </c>
      <c r="K15" s="31" t="s">
        <v>2651</v>
      </c>
      <c r="L15" s="31" t="s">
        <v>568</v>
      </c>
      <c r="M15" s="31">
        <v>2013</v>
      </c>
      <c r="N15" s="33" t="str">
        <f>HYPERLINK("http://services.igi-global.com/resolvedoi/resolve.aspx?doi=10.4018/978-1-46663-914-0")</f>
        <v>http://services.igi-global.com/resolvedoi/resolve.aspx?doi=10.4018/978-1-46663-914-0</v>
      </c>
    </row>
    <row r="16" spans="1:14">
      <c r="A16" s="31">
        <v>15</v>
      </c>
      <c r="B16" s="31" t="s">
        <v>571</v>
      </c>
      <c r="C16" s="31" t="s">
        <v>567</v>
      </c>
      <c r="D16" s="32">
        <v>658.50009999999997</v>
      </c>
      <c r="E16" s="32" t="s">
        <v>2692</v>
      </c>
      <c r="F16" s="31" t="s">
        <v>2693</v>
      </c>
      <c r="G16" s="31" t="s">
        <v>2694</v>
      </c>
      <c r="H16" s="31" t="s">
        <v>2695</v>
      </c>
      <c r="I16" s="31">
        <v>1</v>
      </c>
      <c r="J16" s="31">
        <v>1</v>
      </c>
      <c r="K16" s="31" t="s">
        <v>547</v>
      </c>
      <c r="L16" s="31" t="s">
        <v>568</v>
      </c>
      <c r="M16" s="31">
        <v>2013</v>
      </c>
      <c r="N16" s="33" t="str">
        <f>HYPERLINK("http://services.igi-global.com/resolvedoi/resolve.aspx?doi=10.4018/978-1-46662-461-0")</f>
        <v>http://services.igi-global.com/resolvedoi/resolve.aspx?doi=10.4018/978-1-46662-461-0</v>
      </c>
    </row>
    <row r="17" spans="1:14">
      <c r="A17" s="31">
        <v>16</v>
      </c>
      <c r="B17" s="31" t="s">
        <v>571</v>
      </c>
      <c r="C17" s="31" t="s">
        <v>567</v>
      </c>
      <c r="D17" s="32" t="s">
        <v>2734</v>
      </c>
      <c r="E17" s="32" t="s">
        <v>2735</v>
      </c>
      <c r="F17" s="31" t="s">
        <v>2736</v>
      </c>
      <c r="G17" s="31" t="s">
        <v>2737</v>
      </c>
      <c r="H17" s="31" t="s">
        <v>2738</v>
      </c>
      <c r="I17" s="31">
        <v>1</v>
      </c>
      <c r="J17" s="31">
        <v>1</v>
      </c>
      <c r="K17" s="31" t="s">
        <v>114</v>
      </c>
      <c r="L17" s="31" t="s">
        <v>568</v>
      </c>
      <c r="M17" s="31">
        <v>2013</v>
      </c>
      <c r="N17" s="33" t="str">
        <f>HYPERLINK("http://services.igi-global.com/resolvedoi/resolve.aspx?doi=10.4018/978-1-46662-650-8")</f>
        <v>http://services.igi-global.com/resolvedoi/resolve.aspx?doi=10.4018/978-1-46662-650-8</v>
      </c>
    </row>
    <row r="18" spans="1:14">
      <c r="A18" s="31">
        <v>17</v>
      </c>
      <c r="B18" s="31" t="s">
        <v>571</v>
      </c>
      <c r="C18" s="31" t="s">
        <v>567</v>
      </c>
      <c r="D18" s="32" t="s">
        <v>2591</v>
      </c>
      <c r="E18" s="32" t="s">
        <v>2592</v>
      </c>
      <c r="F18" s="31" t="s">
        <v>2593</v>
      </c>
      <c r="G18" s="31" t="s">
        <v>2594</v>
      </c>
      <c r="H18" s="31" t="s">
        <v>2595</v>
      </c>
      <c r="I18" s="31">
        <v>1</v>
      </c>
      <c r="J18" s="31">
        <v>1</v>
      </c>
      <c r="K18" s="31" t="s">
        <v>2596</v>
      </c>
      <c r="L18" s="31" t="s">
        <v>568</v>
      </c>
      <c r="M18" s="31">
        <v>2013</v>
      </c>
      <c r="N18" s="33" t="str">
        <f>HYPERLINK("http://services.igi-global.com/resolvedoi/resolve.aspx?doi=10.4018/978-1-46662-618-8")</f>
        <v>http://services.igi-global.com/resolvedoi/resolve.aspx?doi=10.4018/978-1-46662-618-8</v>
      </c>
    </row>
    <row r="19" spans="1:14">
      <c r="A19" s="31">
        <v>18</v>
      </c>
      <c r="B19" s="31" t="s">
        <v>571</v>
      </c>
      <c r="C19" s="31" t="s">
        <v>567</v>
      </c>
      <c r="D19" s="32" t="s">
        <v>2597</v>
      </c>
      <c r="E19" s="32" t="s">
        <v>2598</v>
      </c>
      <c r="F19" s="31" t="s">
        <v>2599</v>
      </c>
      <c r="G19" s="31" t="s">
        <v>2600</v>
      </c>
      <c r="H19" s="31" t="s">
        <v>2601</v>
      </c>
      <c r="I19" s="31">
        <v>1</v>
      </c>
      <c r="J19" s="31">
        <v>1</v>
      </c>
      <c r="K19" s="31" t="s">
        <v>2602</v>
      </c>
      <c r="L19" s="31" t="s">
        <v>568</v>
      </c>
      <c r="M19" s="31">
        <v>2013</v>
      </c>
      <c r="N19" s="33" t="str">
        <f>HYPERLINK("http://services.igi-global.com/resolvedoi/resolve.aspx?doi=10.4018/978-1-46662-509-9")</f>
        <v>http://services.igi-global.com/resolvedoi/resolve.aspx?doi=10.4018/978-1-46662-509-9</v>
      </c>
    </row>
    <row r="20" spans="1:14">
      <c r="A20" s="31">
        <v>19</v>
      </c>
      <c r="B20" s="31" t="s">
        <v>571</v>
      </c>
      <c r="C20" s="31" t="s">
        <v>567</v>
      </c>
      <c r="D20" s="32" t="s">
        <v>2580</v>
      </c>
      <c r="E20" s="32" t="s">
        <v>2581</v>
      </c>
      <c r="F20" s="31" t="s">
        <v>2582</v>
      </c>
      <c r="G20" s="31" t="s">
        <v>2583</v>
      </c>
      <c r="H20" s="31" t="s">
        <v>2584</v>
      </c>
      <c r="I20" s="31">
        <v>1</v>
      </c>
      <c r="J20" s="31">
        <v>1</v>
      </c>
      <c r="K20" s="31" t="s">
        <v>2585</v>
      </c>
      <c r="L20" s="31" t="s">
        <v>568</v>
      </c>
      <c r="M20" s="31">
        <v>2013</v>
      </c>
      <c r="N20" s="33" t="str">
        <f>HYPERLINK("http://services.igi-global.com/resolvedoi/resolve.aspx?doi=10.4018/978-1-46663-910-2")</f>
        <v>http://services.igi-global.com/resolvedoi/resolve.aspx?doi=10.4018/978-1-46663-910-2</v>
      </c>
    </row>
    <row r="21" spans="1:14">
      <c r="A21" s="31">
        <v>20</v>
      </c>
      <c r="B21" s="31" t="s">
        <v>571</v>
      </c>
      <c r="C21" s="31" t="s">
        <v>567</v>
      </c>
      <c r="D21" s="32">
        <v>306.30939999999998</v>
      </c>
      <c r="E21" s="32" t="s">
        <v>2620</v>
      </c>
      <c r="F21" s="31" t="s">
        <v>2621</v>
      </c>
      <c r="G21" s="31" t="s">
        <v>2622</v>
      </c>
      <c r="H21" s="31" t="s">
        <v>2623</v>
      </c>
      <c r="I21" s="31">
        <v>1</v>
      </c>
      <c r="J21" s="31">
        <v>1</v>
      </c>
      <c r="K21" s="31" t="s">
        <v>2624</v>
      </c>
      <c r="L21" s="31" t="s">
        <v>568</v>
      </c>
      <c r="M21" s="31">
        <v>2013</v>
      </c>
      <c r="N21" s="33" t="str">
        <f>HYPERLINK("http://services.igi-global.com/resolvedoi/resolve.aspx?doi=10.4018/978-1-46662-857-1")</f>
        <v>http://services.igi-global.com/resolvedoi/resolve.aspx?doi=10.4018/978-1-46662-857-1</v>
      </c>
    </row>
    <row r="22" spans="1:14">
      <c r="A22" s="31">
        <v>21</v>
      </c>
      <c r="B22" s="31" t="s">
        <v>571</v>
      </c>
      <c r="C22" s="31" t="s">
        <v>567</v>
      </c>
      <c r="D22" s="32" t="s">
        <v>1352</v>
      </c>
      <c r="E22" s="32" t="s">
        <v>2559</v>
      </c>
      <c r="F22" s="31" t="s">
        <v>2560</v>
      </c>
      <c r="G22" s="31" t="s">
        <v>2561</v>
      </c>
      <c r="H22" s="31" t="s">
        <v>2562</v>
      </c>
      <c r="I22" s="31">
        <v>1</v>
      </c>
      <c r="J22" s="31">
        <v>1</v>
      </c>
      <c r="K22" s="31" t="s">
        <v>943</v>
      </c>
      <c r="L22" s="31" t="s">
        <v>568</v>
      </c>
      <c r="M22" s="31">
        <v>2013</v>
      </c>
      <c r="N22" s="33" t="str">
        <f>HYPERLINK("http://services.igi-global.com/resolvedoi/resolve.aspx?doi=10.4018/978-1-46663-894-5")</f>
        <v>http://services.igi-global.com/resolvedoi/resolve.aspx?doi=10.4018/978-1-46663-894-5</v>
      </c>
    </row>
    <row r="23" spans="1:14">
      <c r="A23" s="31">
        <v>22</v>
      </c>
      <c r="B23" s="31" t="s">
        <v>571</v>
      </c>
      <c r="C23" s="31" t="s">
        <v>567</v>
      </c>
      <c r="D23" s="32" t="s">
        <v>1637</v>
      </c>
      <c r="E23" s="32" t="s">
        <v>2672</v>
      </c>
      <c r="F23" s="31" t="s">
        <v>2673</v>
      </c>
      <c r="G23" s="31" t="s">
        <v>2674</v>
      </c>
      <c r="H23" s="31" t="s">
        <v>2675</v>
      </c>
      <c r="I23" s="31">
        <v>1</v>
      </c>
      <c r="J23" s="31">
        <v>1</v>
      </c>
      <c r="K23" s="31" t="s">
        <v>547</v>
      </c>
      <c r="L23" s="31" t="s">
        <v>568</v>
      </c>
      <c r="M23" s="31">
        <v>2013</v>
      </c>
      <c r="N23" s="33" t="str">
        <f>HYPERLINK("http://services.igi-global.com/resolvedoi/resolve.aspx?doi=10.4018/978-1-46662-649-2")</f>
        <v>http://services.igi-global.com/resolvedoi/resolve.aspx?doi=10.4018/978-1-46662-649-2</v>
      </c>
    </row>
    <row r="24" spans="1:14">
      <c r="A24" s="31">
        <v>23</v>
      </c>
      <c r="B24" s="31" t="s">
        <v>571</v>
      </c>
      <c r="C24" s="31" t="s">
        <v>567</v>
      </c>
      <c r="D24" s="32" t="s">
        <v>2107</v>
      </c>
      <c r="E24" s="32" t="s">
        <v>2652</v>
      </c>
      <c r="F24" s="31" t="s">
        <v>2653</v>
      </c>
      <c r="G24" s="31" t="s">
        <v>2654</v>
      </c>
      <c r="H24" s="31" t="s">
        <v>2655</v>
      </c>
      <c r="I24" s="31">
        <v>1</v>
      </c>
      <c r="J24" s="31">
        <v>1</v>
      </c>
      <c r="K24" s="31" t="s">
        <v>1634</v>
      </c>
      <c r="L24" s="31" t="s">
        <v>568</v>
      </c>
      <c r="M24" s="31">
        <v>2013</v>
      </c>
      <c r="N24" s="33" t="str">
        <f>HYPERLINK("http://services.igi-global.com/resolvedoi/resolve.aspx?doi=10.4018/978-1-46663-954-6")</f>
        <v>http://services.igi-global.com/resolvedoi/resolve.aspx?doi=10.4018/978-1-46663-954-6</v>
      </c>
    </row>
    <row r="25" spans="1:14">
      <c r="A25" s="31">
        <v>24</v>
      </c>
      <c r="B25" s="31" t="s">
        <v>571</v>
      </c>
      <c r="C25" s="31" t="s">
        <v>567</v>
      </c>
      <c r="D25" s="32" t="s">
        <v>2723</v>
      </c>
      <c r="E25" s="32" t="s">
        <v>2724</v>
      </c>
      <c r="F25" s="31" t="s">
        <v>2725</v>
      </c>
      <c r="G25" s="31" t="s">
        <v>2726</v>
      </c>
      <c r="H25" s="31" t="s">
        <v>2727</v>
      </c>
      <c r="I25" s="31">
        <v>1</v>
      </c>
      <c r="J25" s="31">
        <v>1</v>
      </c>
      <c r="K25" s="31" t="s">
        <v>2728</v>
      </c>
      <c r="L25" s="31" t="s">
        <v>568</v>
      </c>
      <c r="M25" s="31">
        <v>2013</v>
      </c>
      <c r="N25" s="33" t="str">
        <f>HYPERLINK("http://services.igi-global.com/resolvedoi/resolve.aspx?doi=10.4018/978-1-46664-026-9")</f>
        <v>http://services.igi-global.com/resolvedoi/resolve.aspx?doi=10.4018/978-1-46664-026-9</v>
      </c>
    </row>
    <row r="26" spans="1:14">
      <c r="A26" s="31">
        <v>25</v>
      </c>
      <c r="B26" s="31" t="s">
        <v>571</v>
      </c>
      <c r="C26" s="31" t="s">
        <v>567</v>
      </c>
      <c r="D26" s="32" t="s">
        <v>2107</v>
      </c>
      <c r="E26" s="32" t="s">
        <v>2774</v>
      </c>
      <c r="F26" s="31" t="s">
        <v>2775</v>
      </c>
      <c r="G26" s="31" t="s">
        <v>2776</v>
      </c>
      <c r="H26" s="31" t="s">
        <v>2777</v>
      </c>
      <c r="I26" s="31">
        <v>1</v>
      </c>
      <c r="J26" s="31">
        <v>1</v>
      </c>
      <c r="K26" s="31" t="s">
        <v>1634</v>
      </c>
      <c r="L26" s="31" t="s">
        <v>568</v>
      </c>
      <c r="M26" s="31">
        <v>2013</v>
      </c>
      <c r="N26" s="33" t="str">
        <f>HYPERLINK("http://services.igi-global.com/resolvedoi/resolve.aspx?doi=10.4018/978-1-46661-861-9")</f>
        <v>http://services.igi-global.com/resolvedoi/resolve.aspx?doi=10.4018/978-1-46661-861-9</v>
      </c>
    </row>
    <row r="27" spans="1:14">
      <c r="A27" s="31">
        <v>26</v>
      </c>
      <c r="B27" s="31" t="s">
        <v>571</v>
      </c>
      <c r="C27" s="31" t="s">
        <v>567</v>
      </c>
      <c r="D27" s="32" t="s">
        <v>2614</v>
      </c>
      <c r="E27" s="32" t="s">
        <v>2615</v>
      </c>
      <c r="F27" s="31" t="s">
        <v>2616</v>
      </c>
      <c r="G27" s="31" t="s">
        <v>2617</v>
      </c>
      <c r="H27" s="31" t="s">
        <v>2618</v>
      </c>
      <c r="I27" s="31">
        <v>1</v>
      </c>
      <c r="J27" s="31">
        <v>1</v>
      </c>
      <c r="K27" s="31" t="s">
        <v>2619</v>
      </c>
      <c r="L27" s="31" t="s">
        <v>568</v>
      </c>
      <c r="M27" s="31">
        <v>2013</v>
      </c>
      <c r="N27" s="33" t="str">
        <f>HYPERLINK("http://services.igi-global.com/resolvedoi/resolve.aspx?doi=10.4018/978-1-46664-082-5")</f>
        <v>http://services.igi-global.com/resolvedoi/resolve.aspx?doi=10.4018/978-1-46664-082-5</v>
      </c>
    </row>
    <row r="28" spans="1:14">
      <c r="A28" s="31">
        <v>27</v>
      </c>
      <c r="B28" s="31" t="s">
        <v>571</v>
      </c>
      <c r="C28" s="31" t="s">
        <v>567</v>
      </c>
      <c r="D28" s="32" t="s">
        <v>2696</v>
      </c>
      <c r="E28" s="32" t="s">
        <v>2697</v>
      </c>
      <c r="F28" s="31" t="s">
        <v>2698</v>
      </c>
      <c r="G28" s="31" t="s">
        <v>2699</v>
      </c>
      <c r="H28" s="31" t="s">
        <v>2700</v>
      </c>
      <c r="I28" s="31">
        <v>1</v>
      </c>
      <c r="J28" s="31">
        <v>1</v>
      </c>
      <c r="K28" s="31" t="s">
        <v>126</v>
      </c>
      <c r="L28" s="31" t="s">
        <v>568</v>
      </c>
      <c r="M28" s="31">
        <v>2013</v>
      </c>
      <c r="N28" s="33" t="str">
        <f>HYPERLINK("http://services.igi-global.com/resolvedoi/resolve.aspx?doi=10.4018/978-1-46663-631-6")</f>
        <v>http://services.igi-global.com/resolvedoi/resolve.aspx?doi=10.4018/978-1-46663-631-6</v>
      </c>
    </row>
    <row r="29" spans="1:14">
      <c r="A29" s="31">
        <v>28</v>
      </c>
      <c r="B29" s="31" t="s">
        <v>571</v>
      </c>
      <c r="C29" s="31" t="s">
        <v>567</v>
      </c>
      <c r="D29" s="32" t="s">
        <v>2625</v>
      </c>
      <c r="E29" s="32" t="s">
        <v>2626</v>
      </c>
      <c r="F29" s="31" t="s">
        <v>2627</v>
      </c>
      <c r="G29" s="31" t="s">
        <v>2628</v>
      </c>
      <c r="H29" s="31" t="s">
        <v>2629</v>
      </c>
      <c r="I29" s="31">
        <v>1</v>
      </c>
      <c r="J29" s="31">
        <v>1</v>
      </c>
      <c r="K29" s="31" t="s">
        <v>2630</v>
      </c>
      <c r="L29" s="31" t="s">
        <v>568</v>
      </c>
      <c r="M29" s="31">
        <v>2013</v>
      </c>
      <c r="N29" s="33" t="str">
        <f>HYPERLINK("http://services.igi-global.com/resolvedoi/resolve.aspx?doi=10.4018/978-1-46662-524-2")</f>
        <v>http://services.igi-global.com/resolvedoi/resolve.aspx?doi=10.4018/978-1-46662-524-2</v>
      </c>
    </row>
    <row r="30" spans="1:14">
      <c r="A30" s="31">
        <v>29</v>
      </c>
      <c r="B30" s="31" t="s">
        <v>571</v>
      </c>
      <c r="C30" s="31" t="s">
        <v>567</v>
      </c>
      <c r="D30" s="32" t="s">
        <v>2625</v>
      </c>
      <c r="E30" s="32" t="s">
        <v>2701</v>
      </c>
      <c r="F30" s="31" t="s">
        <v>2702</v>
      </c>
      <c r="G30" s="31" t="s">
        <v>2703</v>
      </c>
      <c r="H30" s="31" t="s">
        <v>2704</v>
      </c>
      <c r="I30" s="31">
        <v>1</v>
      </c>
      <c r="J30" s="31">
        <v>1</v>
      </c>
      <c r="K30" s="31" t="s">
        <v>30</v>
      </c>
      <c r="L30" s="31" t="s">
        <v>568</v>
      </c>
      <c r="M30" s="31">
        <v>2013</v>
      </c>
      <c r="N30" s="33" t="str">
        <f>HYPERLINK("http://services.igi-global.com/resolvedoi/resolve.aspx?doi=10.4018/978-1-46664-094-8")</f>
        <v>http://services.igi-global.com/resolvedoi/resolve.aspx?doi=10.4018/978-1-46664-094-8</v>
      </c>
    </row>
    <row r="31" spans="1:14">
      <c r="A31" s="31">
        <v>30</v>
      </c>
      <c r="B31" s="31" t="s">
        <v>571</v>
      </c>
      <c r="C31" s="31" t="s">
        <v>567</v>
      </c>
      <c r="D31" s="32" t="s">
        <v>1637</v>
      </c>
      <c r="E31" s="32" t="s">
        <v>2656</v>
      </c>
      <c r="F31" s="31" t="s">
        <v>2657</v>
      </c>
      <c r="G31" s="31" t="s">
        <v>2658</v>
      </c>
      <c r="H31" s="31" t="s">
        <v>2659</v>
      </c>
      <c r="I31" s="31">
        <v>1</v>
      </c>
      <c r="J31" s="31">
        <v>1</v>
      </c>
      <c r="K31" s="31" t="s">
        <v>2660</v>
      </c>
      <c r="L31" s="31" t="s">
        <v>568</v>
      </c>
      <c r="M31" s="31">
        <v>2013</v>
      </c>
      <c r="N31" s="33" t="str">
        <f>HYPERLINK("http://services.igi-global.com/resolvedoi/resolve.aspx?doi=10.4018/978-1-46663-946-1")</f>
        <v>http://services.igi-global.com/resolvedoi/resolve.aspx?doi=10.4018/978-1-46663-946-1</v>
      </c>
    </row>
    <row r="32" spans="1:14">
      <c r="A32" s="31">
        <v>31</v>
      </c>
      <c r="B32" s="31" t="s">
        <v>571</v>
      </c>
      <c r="C32" s="31" t="s">
        <v>567</v>
      </c>
      <c r="D32" s="32" t="s">
        <v>2107</v>
      </c>
      <c r="E32" s="32" t="s">
        <v>2636</v>
      </c>
      <c r="F32" s="31" t="s">
        <v>2637</v>
      </c>
      <c r="G32" s="31" t="s">
        <v>2638</v>
      </c>
      <c r="H32" s="31" t="s">
        <v>2639</v>
      </c>
      <c r="I32" s="31">
        <v>1</v>
      </c>
      <c r="J32" s="31">
        <v>1</v>
      </c>
      <c r="K32" s="31" t="s">
        <v>2596</v>
      </c>
      <c r="L32" s="31" t="s">
        <v>568</v>
      </c>
      <c r="M32" s="31">
        <v>2013</v>
      </c>
      <c r="N32" s="33" t="str">
        <f>HYPERLINK("http://services.igi-global.com/resolvedoi/resolve.aspx?doi=10.4018/978-1-46663-622-4")</f>
        <v>http://services.igi-global.com/resolvedoi/resolve.aspx?doi=10.4018/978-1-46663-622-4</v>
      </c>
    </row>
    <row r="33" spans="1:14">
      <c r="A33" s="31">
        <v>32</v>
      </c>
      <c r="B33" s="31" t="s">
        <v>571</v>
      </c>
      <c r="C33" s="31" t="s">
        <v>567</v>
      </c>
      <c r="D33" s="32" t="s">
        <v>2107</v>
      </c>
      <c r="E33" s="32" t="s">
        <v>2710</v>
      </c>
      <c r="F33" s="31" t="s">
        <v>2711</v>
      </c>
      <c r="G33" s="31" t="s">
        <v>2712</v>
      </c>
      <c r="H33" s="31" t="s">
        <v>2713</v>
      </c>
      <c r="I33" s="31">
        <v>1</v>
      </c>
      <c r="J33" s="31">
        <v>1</v>
      </c>
      <c r="K33" s="31" t="s">
        <v>578</v>
      </c>
      <c r="L33" s="31" t="s">
        <v>568</v>
      </c>
      <c r="M33" s="31">
        <v>2013</v>
      </c>
      <c r="N33" s="33" t="str">
        <f>HYPERLINK("http://services.igi-global.com/resolvedoi/resolve.aspx?doi=10.4018/978-1-46661-960-9")</f>
        <v>http://services.igi-global.com/resolvedoi/resolve.aspx?doi=10.4018/978-1-46661-960-9</v>
      </c>
    </row>
    <row r="34" spans="1:14">
      <c r="A34" s="31">
        <v>33</v>
      </c>
      <c r="B34" s="31" t="s">
        <v>571</v>
      </c>
      <c r="C34" s="31" t="s">
        <v>567</v>
      </c>
      <c r="D34" s="32" t="s">
        <v>2107</v>
      </c>
      <c r="E34" s="32" t="s">
        <v>2714</v>
      </c>
      <c r="F34" s="31" t="s">
        <v>2715</v>
      </c>
      <c r="G34" s="31" t="s">
        <v>2716</v>
      </c>
      <c r="H34" s="31" t="s">
        <v>2717</v>
      </c>
      <c r="I34" s="31">
        <v>1</v>
      </c>
      <c r="J34" s="31">
        <v>1</v>
      </c>
      <c r="K34" s="31" t="s">
        <v>2718</v>
      </c>
      <c r="L34" s="31" t="s">
        <v>568</v>
      </c>
      <c r="M34" s="31">
        <v>2013</v>
      </c>
      <c r="N34" s="33" t="str">
        <f>HYPERLINK("http://services.igi-global.com/resolvedoi/resolve.aspx?doi=10.4018/978-1-46662-946-2")</f>
        <v>http://services.igi-global.com/resolvedoi/resolve.aspx?doi=10.4018/978-1-46662-946-2</v>
      </c>
    </row>
    <row r="35" spans="1:14">
      <c r="A35" s="31">
        <v>34</v>
      </c>
      <c r="B35" s="31" t="s">
        <v>571</v>
      </c>
      <c r="C35" s="31" t="s">
        <v>567</v>
      </c>
      <c r="D35" s="32" t="s">
        <v>2744</v>
      </c>
      <c r="E35" s="32" t="s">
        <v>2745</v>
      </c>
      <c r="F35" s="31" t="s">
        <v>2746</v>
      </c>
      <c r="G35" s="31" t="s">
        <v>2747</v>
      </c>
      <c r="H35" s="31" t="s">
        <v>2748</v>
      </c>
      <c r="I35" s="31">
        <v>1</v>
      </c>
      <c r="J35" s="31">
        <v>1</v>
      </c>
      <c r="K35" s="31" t="s">
        <v>2749</v>
      </c>
      <c r="L35" s="31" t="s">
        <v>568</v>
      </c>
      <c r="M35" s="31">
        <v>2013</v>
      </c>
      <c r="N35" s="33" t="str">
        <f>HYPERLINK("http://services.igi-global.com/resolvedoi/resolve.aspx?doi=10.4018/978-1-46662-011-7")</f>
        <v>http://services.igi-global.com/resolvedoi/resolve.aspx?doi=10.4018/978-1-46662-011-7</v>
      </c>
    </row>
    <row r="36" spans="1:14">
      <c r="A36" s="31">
        <v>35</v>
      </c>
      <c r="B36" s="31" t="s">
        <v>571</v>
      </c>
      <c r="C36" s="31" t="s">
        <v>567</v>
      </c>
      <c r="D36" s="32" t="s">
        <v>2681</v>
      </c>
      <c r="E36" s="32" t="s">
        <v>2682</v>
      </c>
      <c r="F36" s="31" t="s">
        <v>2683</v>
      </c>
      <c r="G36" s="31" t="s">
        <v>2684</v>
      </c>
      <c r="H36" s="31" t="s">
        <v>2685</v>
      </c>
      <c r="I36" s="31">
        <v>1</v>
      </c>
      <c r="J36" s="31">
        <v>1</v>
      </c>
      <c r="K36" s="31" t="s">
        <v>2686</v>
      </c>
      <c r="L36" s="31" t="s">
        <v>568</v>
      </c>
      <c r="M36" s="31">
        <v>2012</v>
      </c>
      <c r="N36" s="33" t="str">
        <f>HYPERLINK("http://services.igi-global.com/resolvedoi/resolve.aspx?doi=10.4018/978-1-61350-162-7")</f>
        <v>http://services.igi-global.com/resolvedoi/resolve.aspx?doi=10.4018/978-1-61350-162-7</v>
      </c>
    </row>
    <row r="37" spans="1:14">
      <c r="A37" s="31">
        <v>36</v>
      </c>
      <c r="B37" s="31" t="s">
        <v>571</v>
      </c>
      <c r="C37" s="31" t="s">
        <v>567</v>
      </c>
      <c r="D37" s="32" t="s">
        <v>2640</v>
      </c>
      <c r="E37" s="32" t="s">
        <v>2641</v>
      </c>
      <c r="F37" s="31" t="s">
        <v>2642</v>
      </c>
      <c r="G37" s="31" t="s">
        <v>2643</v>
      </c>
      <c r="H37" s="31" t="s">
        <v>2644</v>
      </c>
      <c r="I37" s="31">
        <v>1</v>
      </c>
      <c r="J37" s="31">
        <v>1</v>
      </c>
      <c r="K37" s="31" t="s">
        <v>2645</v>
      </c>
      <c r="L37" s="31" t="s">
        <v>568</v>
      </c>
      <c r="M37" s="35">
        <v>2013</v>
      </c>
      <c r="N37" s="33" t="str">
        <f>HYPERLINK("http://services.igi-global.com/resolvedoi/resolve.aspx?doi=10.4018/978-1-46662-982-0")</f>
        <v>http://services.igi-global.com/resolvedoi/resolve.aspx?doi=10.4018/978-1-46662-982-0</v>
      </c>
    </row>
    <row r="38" spans="1:14">
      <c r="A38" s="31">
        <v>37</v>
      </c>
      <c r="B38" s="31" t="s">
        <v>571</v>
      </c>
      <c r="C38" s="31" t="s">
        <v>567</v>
      </c>
      <c r="D38" s="32">
        <v>378.06880000000001</v>
      </c>
      <c r="E38" s="32" t="s">
        <v>2705</v>
      </c>
      <c r="F38" s="31" t="s">
        <v>2706</v>
      </c>
      <c r="G38" s="31" t="s">
        <v>2707</v>
      </c>
      <c r="H38" s="31" t="s">
        <v>2708</v>
      </c>
      <c r="I38" s="31">
        <v>1</v>
      </c>
      <c r="J38" s="31">
        <v>1</v>
      </c>
      <c r="K38" s="31" t="s">
        <v>2709</v>
      </c>
      <c r="L38" s="31" t="s">
        <v>568</v>
      </c>
      <c r="M38" s="31">
        <v>2013</v>
      </c>
      <c r="N38" s="33" t="str">
        <f>HYPERLINK("http://services.igi-global.com/resolvedoi/resolve.aspx?doi=10.4018/978-1-46664-014-6")</f>
        <v>http://services.igi-global.com/resolvedoi/resolve.aspx?doi=10.4018/978-1-46664-014-6</v>
      </c>
    </row>
    <row r="39" spans="1:14">
      <c r="A39" s="31">
        <v>38</v>
      </c>
      <c r="B39" s="31" t="s">
        <v>571</v>
      </c>
      <c r="C39" s="31" t="s">
        <v>567</v>
      </c>
      <c r="D39" s="32" t="s">
        <v>2603</v>
      </c>
      <c r="E39" s="32" t="s">
        <v>2604</v>
      </c>
      <c r="F39" s="31" t="s">
        <v>2605</v>
      </c>
      <c r="G39" s="31" t="s">
        <v>2606</v>
      </c>
      <c r="H39" s="31" t="s">
        <v>2607</v>
      </c>
      <c r="I39" s="31">
        <v>1</v>
      </c>
      <c r="J39" s="31">
        <v>1</v>
      </c>
      <c r="K39" s="31" t="s">
        <v>2608</v>
      </c>
      <c r="L39" s="31" t="s">
        <v>568</v>
      </c>
      <c r="M39" s="31">
        <v>2013</v>
      </c>
      <c r="N39" s="33" t="str">
        <f>HYPERLINK("http://services.igi-global.com/resolvedoi/resolve.aspx?doi=10.4018/978-1-46662-187-9")</f>
        <v>http://services.igi-global.com/resolvedoi/resolve.aspx?doi=10.4018/978-1-46662-187-9</v>
      </c>
    </row>
    <row r="40" spans="1:14">
      <c r="A40" s="31">
        <v>39</v>
      </c>
      <c r="B40" s="31" t="s">
        <v>571</v>
      </c>
      <c r="C40" s="31" t="s">
        <v>567</v>
      </c>
      <c r="D40" s="32" t="s">
        <v>1793</v>
      </c>
      <c r="E40" s="32" t="s">
        <v>2631</v>
      </c>
      <c r="F40" s="31" t="s">
        <v>2632</v>
      </c>
      <c r="G40" s="31" t="s">
        <v>2633</v>
      </c>
      <c r="H40" s="31" t="s">
        <v>2634</v>
      </c>
      <c r="I40" s="31">
        <v>1</v>
      </c>
      <c r="J40" s="31">
        <v>1</v>
      </c>
      <c r="K40" s="31" t="s">
        <v>2635</v>
      </c>
      <c r="L40" s="31" t="s">
        <v>568</v>
      </c>
      <c r="M40" s="31">
        <v>2013</v>
      </c>
      <c r="N40" s="33" t="str">
        <f>HYPERLINK("http://services.igi-global.com/resolvedoi/resolve.aspx?doi=10.4018/978-1-46663-934-8")</f>
        <v>http://services.igi-global.com/resolvedoi/resolve.aspx?doi=10.4018/978-1-46663-934-8</v>
      </c>
    </row>
    <row r="41" spans="1:14">
      <c r="A41" s="31">
        <v>40</v>
      </c>
      <c r="B41" s="31" t="s">
        <v>571</v>
      </c>
      <c r="C41" s="31" t="s">
        <v>567</v>
      </c>
      <c r="D41" s="32" t="s">
        <v>1793</v>
      </c>
      <c r="E41" s="32" t="s">
        <v>2739</v>
      </c>
      <c r="F41" s="31" t="s">
        <v>2740</v>
      </c>
      <c r="G41" s="31" t="s">
        <v>2741</v>
      </c>
      <c r="H41" s="31" t="s">
        <v>2742</v>
      </c>
      <c r="I41" s="31">
        <v>1</v>
      </c>
      <c r="J41" s="31">
        <v>1</v>
      </c>
      <c r="K41" s="31" t="s">
        <v>2743</v>
      </c>
      <c r="L41" s="31" t="s">
        <v>568</v>
      </c>
      <c r="M41" s="31">
        <v>2013</v>
      </c>
      <c r="N41" s="33" t="str">
        <f>HYPERLINK("http://services.igi-global.com/resolvedoi/resolve.aspx?doi=10.4018/978-1-46662-854-0")</f>
        <v>http://services.igi-global.com/resolvedoi/resolve.aspx?doi=10.4018/978-1-46662-854-0</v>
      </c>
    </row>
    <row r="42" spans="1:14">
      <c r="A42" s="31">
        <v>41</v>
      </c>
      <c r="B42" s="31" t="s">
        <v>571</v>
      </c>
      <c r="C42" s="31" t="s">
        <v>567</v>
      </c>
      <c r="D42" s="32" t="s">
        <v>2568</v>
      </c>
      <c r="E42" s="32" t="s">
        <v>2569</v>
      </c>
      <c r="F42" s="31" t="s">
        <v>2570</v>
      </c>
      <c r="G42" s="31" t="s">
        <v>2571</v>
      </c>
      <c r="H42" s="31" t="s">
        <v>2572</v>
      </c>
      <c r="I42" s="31">
        <v>1</v>
      </c>
      <c r="J42" s="31">
        <v>1</v>
      </c>
      <c r="K42" s="31" t="s">
        <v>2573</v>
      </c>
      <c r="L42" s="31" t="s">
        <v>568</v>
      </c>
      <c r="M42" s="31">
        <v>2013</v>
      </c>
      <c r="N42" s="33" t="str">
        <f>HYPERLINK("http://services.igi-global.com/resolvedoi/resolve.aspx?doi=10.4018/978-1-46663-658-3")</f>
        <v>http://services.igi-global.com/resolvedoi/resolve.aspx?doi=10.4018/978-1-46663-658-3</v>
      </c>
    </row>
    <row r="43" spans="1:14">
      <c r="A43" s="31">
        <v>42</v>
      </c>
      <c r="B43" s="31" t="s">
        <v>571</v>
      </c>
      <c r="C43" s="31" t="s">
        <v>567</v>
      </c>
      <c r="D43" s="32" t="s">
        <v>1637</v>
      </c>
      <c r="E43" s="32" t="s">
        <v>2719</v>
      </c>
      <c r="F43" s="31" t="s">
        <v>2720</v>
      </c>
      <c r="G43" s="31" t="s">
        <v>2721</v>
      </c>
      <c r="H43" s="31" t="s">
        <v>2722</v>
      </c>
      <c r="I43" s="31">
        <v>1</v>
      </c>
      <c r="J43" s="31">
        <v>1</v>
      </c>
      <c r="K43" s="31" t="s">
        <v>547</v>
      </c>
      <c r="L43" s="31" t="s">
        <v>568</v>
      </c>
      <c r="M43" s="31">
        <v>2013</v>
      </c>
      <c r="N43" s="33" t="str">
        <f>HYPERLINK("http://services.igi-global.com/resolvedoi/resolve.aspx?doi=10.4018/978-1-46662-925-7")</f>
        <v>http://services.igi-global.com/resolvedoi/resolve.aspx?doi=10.4018/978-1-46662-925-7</v>
      </c>
    </row>
    <row r="44" spans="1:14">
      <c r="A44" s="31">
        <v>43</v>
      </c>
      <c r="B44" s="31" t="s">
        <v>571</v>
      </c>
      <c r="C44" s="31" t="s">
        <v>567</v>
      </c>
      <c r="D44" s="32" t="s">
        <v>2667</v>
      </c>
      <c r="E44" s="32" t="s">
        <v>2668</v>
      </c>
      <c r="F44" s="31" t="s">
        <v>2669</v>
      </c>
      <c r="G44" s="31" t="s">
        <v>2670</v>
      </c>
      <c r="H44" s="31" t="s">
        <v>2671</v>
      </c>
      <c r="I44" s="31">
        <v>1</v>
      </c>
      <c r="J44" s="31">
        <v>1</v>
      </c>
      <c r="K44" s="31" t="s">
        <v>684</v>
      </c>
      <c r="L44" s="31" t="s">
        <v>568</v>
      </c>
      <c r="M44" s="31">
        <v>2013</v>
      </c>
      <c r="N44" s="33" t="str">
        <f>HYPERLINK("http://services.igi-global.com/resolvedoi/resolve.aspx?doi=10.4018/978-1-46662-661-4")</f>
        <v>http://services.igi-global.com/resolvedoi/resolve.aspx?doi=10.4018/978-1-46662-661-4</v>
      </c>
    </row>
    <row r="45" spans="1:14">
      <c r="A45" s="31">
        <v>44</v>
      </c>
      <c r="B45" s="31" t="s">
        <v>571</v>
      </c>
      <c r="C45" s="31" t="s">
        <v>567</v>
      </c>
      <c r="D45" s="32" t="s">
        <v>2574</v>
      </c>
      <c r="E45" s="32" t="s">
        <v>2575</v>
      </c>
      <c r="F45" s="31" t="s">
        <v>2576</v>
      </c>
      <c r="G45" s="31" t="s">
        <v>2577</v>
      </c>
      <c r="H45" s="31" t="s">
        <v>2578</v>
      </c>
      <c r="I45" s="31">
        <v>1</v>
      </c>
      <c r="J45" s="31">
        <v>1</v>
      </c>
      <c r="K45" s="31" t="s">
        <v>2579</v>
      </c>
      <c r="L45" s="31" t="s">
        <v>568</v>
      </c>
      <c r="M45" s="31">
        <v>2013</v>
      </c>
      <c r="N45" s="33" t="str">
        <f>HYPERLINK("http://services.igi-global.com/resolvedoi/resolve.aspx?doi=10.4018/978-1-46662-839-7")</f>
        <v>http://services.igi-global.com/resolvedoi/resolve.aspx?doi=10.4018/978-1-46662-839-7</v>
      </c>
    </row>
    <row r="46" spans="1:14">
      <c r="A46" s="31">
        <v>45</v>
      </c>
      <c r="B46" s="31" t="s">
        <v>571</v>
      </c>
      <c r="C46" s="31" t="s">
        <v>549</v>
      </c>
      <c r="D46" s="32" t="s">
        <v>2794</v>
      </c>
      <c r="E46" s="32" t="s">
        <v>2795</v>
      </c>
      <c r="F46" s="31" t="s">
        <v>2796</v>
      </c>
      <c r="G46" s="31" t="s">
        <v>2797</v>
      </c>
      <c r="H46" s="31" t="s">
        <v>2798</v>
      </c>
      <c r="I46" s="31">
        <v>1</v>
      </c>
      <c r="J46" s="31">
        <v>1</v>
      </c>
      <c r="K46" s="31" t="s">
        <v>706</v>
      </c>
      <c r="L46" s="31" t="s">
        <v>569</v>
      </c>
      <c r="M46" s="31">
        <v>2013</v>
      </c>
      <c r="N46" s="33" t="str">
        <f>HYPERLINK("http://services.igi-global.com/resolvedoi/resolve.aspx?doi=10.4018/978-1-46664-078-8")</f>
        <v>http://services.igi-global.com/resolvedoi/resolve.aspx?doi=10.4018/978-1-46664-078-8</v>
      </c>
    </row>
    <row r="47" spans="1:14">
      <c r="A47" s="31">
        <v>46</v>
      </c>
      <c r="B47" s="31" t="s">
        <v>571</v>
      </c>
      <c r="C47" s="31" t="s">
        <v>549</v>
      </c>
      <c r="D47" s="32" t="s">
        <v>2810</v>
      </c>
      <c r="E47" s="32" t="s">
        <v>2811</v>
      </c>
      <c r="F47" s="31" t="s">
        <v>2812</v>
      </c>
      <c r="G47" s="31" t="s">
        <v>2813</v>
      </c>
      <c r="H47" s="31" t="s">
        <v>2814</v>
      </c>
      <c r="I47" s="31">
        <v>1</v>
      </c>
      <c r="J47" s="31">
        <v>1</v>
      </c>
      <c r="K47" s="31" t="s">
        <v>2815</v>
      </c>
      <c r="L47" s="31" t="s">
        <v>569</v>
      </c>
      <c r="M47" s="31">
        <v>2010</v>
      </c>
      <c r="N47" s="33" t="str">
        <f>HYPERLINK("http://services.igi-global.com/resolvedoi/resolve.aspx?doi=10.4018/978-1-60566-754-6")</f>
        <v>http://services.igi-global.com/resolvedoi/resolve.aspx?doi=10.4018/978-1-60566-754-6</v>
      </c>
    </row>
    <row r="48" spans="1:14">
      <c r="A48" s="31">
        <v>47</v>
      </c>
      <c r="B48" s="31" t="s">
        <v>571</v>
      </c>
      <c r="C48" s="31" t="s">
        <v>549</v>
      </c>
      <c r="D48" s="32" t="s">
        <v>2804</v>
      </c>
      <c r="E48" s="32" t="s">
        <v>2805</v>
      </c>
      <c r="F48" s="31" t="s">
        <v>2806</v>
      </c>
      <c r="G48" s="31" t="s">
        <v>2807</v>
      </c>
      <c r="H48" s="31" t="s">
        <v>2808</v>
      </c>
      <c r="I48" s="31">
        <v>1</v>
      </c>
      <c r="J48" s="31">
        <v>1</v>
      </c>
      <c r="K48" s="31" t="s">
        <v>2809</v>
      </c>
      <c r="L48" s="31" t="s">
        <v>569</v>
      </c>
      <c r="M48" s="31">
        <v>2009</v>
      </c>
      <c r="N48" s="33" t="str">
        <f>HYPERLINK("http://services.igi-global.com/resolvedoi/resolve.aspx?doi=10.4018/978-1-59904-982-3")</f>
        <v>http://services.igi-global.com/resolvedoi/resolve.aspx?doi=10.4018/978-1-59904-982-3</v>
      </c>
    </row>
    <row r="49" spans="1:14">
      <c r="A49" s="31">
        <v>48</v>
      </c>
      <c r="B49" s="31" t="s">
        <v>571</v>
      </c>
      <c r="C49" s="31" t="s">
        <v>549</v>
      </c>
      <c r="D49" s="32" t="s">
        <v>2799</v>
      </c>
      <c r="E49" s="32" t="s">
        <v>2800</v>
      </c>
      <c r="F49" s="31" t="s">
        <v>2801</v>
      </c>
      <c r="G49" s="31" t="s">
        <v>2802</v>
      </c>
      <c r="H49" s="31" t="s">
        <v>2803</v>
      </c>
      <c r="I49" s="31">
        <v>1</v>
      </c>
      <c r="J49" s="31">
        <v>1</v>
      </c>
      <c r="K49" s="31" t="s">
        <v>553</v>
      </c>
      <c r="L49" s="31" t="s">
        <v>569</v>
      </c>
      <c r="M49" s="31">
        <v>2013</v>
      </c>
      <c r="N49" s="33" t="str">
        <f>HYPERLINK("http://services.igi-global.com/resolvedoi/resolve.aspx?doi=10.4018/978-1-46662-044-5")</f>
        <v>http://services.igi-global.com/resolvedoi/resolve.aspx?doi=10.4018/978-1-46662-044-5</v>
      </c>
    </row>
    <row r="50" spans="1:14">
      <c r="A50" s="31">
        <v>49</v>
      </c>
      <c r="B50" s="31" t="s">
        <v>571</v>
      </c>
      <c r="C50" s="31" t="s">
        <v>549</v>
      </c>
      <c r="D50" s="32" t="s">
        <v>2778</v>
      </c>
      <c r="E50" s="32" t="s">
        <v>2779</v>
      </c>
      <c r="F50" s="31" t="s">
        <v>2780</v>
      </c>
      <c r="G50" s="31" t="s">
        <v>2781</v>
      </c>
      <c r="H50" s="31" t="s">
        <v>2782</v>
      </c>
      <c r="I50" s="31">
        <v>4</v>
      </c>
      <c r="J50" s="31">
        <v>1</v>
      </c>
      <c r="K50" s="31" t="s">
        <v>2754</v>
      </c>
      <c r="L50" s="31" t="s">
        <v>569</v>
      </c>
      <c r="M50" s="31">
        <v>2013</v>
      </c>
      <c r="N50" s="33" t="str">
        <f>HYPERLINK("http://services.igi-global.com/resolvedoi/resolve.aspx?doi=10.4018/978-1-46662-455-9")</f>
        <v>http://services.igi-global.com/resolvedoi/resolve.aspx?doi=10.4018/978-1-46662-455-9</v>
      </c>
    </row>
    <row r="51" spans="1:14">
      <c r="A51" s="31">
        <v>50</v>
      </c>
      <c r="B51" s="31" t="s">
        <v>571</v>
      </c>
      <c r="C51" s="31" t="s">
        <v>549</v>
      </c>
      <c r="D51" s="32" t="s">
        <v>1837</v>
      </c>
      <c r="E51" s="32" t="s">
        <v>2789</v>
      </c>
      <c r="F51" s="31" t="s">
        <v>2790</v>
      </c>
      <c r="G51" s="31" t="s">
        <v>2791</v>
      </c>
      <c r="H51" s="31" t="s">
        <v>2792</v>
      </c>
      <c r="I51" s="31">
        <v>1</v>
      </c>
      <c r="J51" s="31">
        <v>1</v>
      </c>
      <c r="K51" s="31" t="s">
        <v>2793</v>
      </c>
      <c r="L51" s="31" t="s">
        <v>569</v>
      </c>
      <c r="M51" s="31">
        <v>2013</v>
      </c>
      <c r="N51" s="33" t="str">
        <f>HYPERLINK("http://services.igi-global.com/resolvedoi/resolve.aspx?doi=10.4018/978-1-46662-148-0")</f>
        <v>http://services.igi-global.com/resolvedoi/resolve.aspx?doi=10.4018/978-1-46662-148-0</v>
      </c>
    </row>
    <row r="52" spans="1:14">
      <c r="A52" s="31">
        <v>51</v>
      </c>
      <c r="B52" s="31" t="s">
        <v>571</v>
      </c>
      <c r="C52" s="31" t="s">
        <v>549</v>
      </c>
      <c r="D52" s="32" t="s">
        <v>2783</v>
      </c>
      <c r="E52" s="32" t="s">
        <v>2784</v>
      </c>
      <c r="F52" s="31" t="s">
        <v>2785</v>
      </c>
      <c r="G52" s="31" t="s">
        <v>2786</v>
      </c>
      <c r="H52" s="31" t="s">
        <v>2787</v>
      </c>
      <c r="I52" s="31">
        <v>1</v>
      </c>
      <c r="J52" s="31">
        <v>1</v>
      </c>
      <c r="K52" s="31" t="s">
        <v>2788</v>
      </c>
      <c r="L52" s="31" t="s">
        <v>569</v>
      </c>
      <c r="M52" s="31">
        <v>2013</v>
      </c>
      <c r="N52" s="33" t="str">
        <f>HYPERLINK("http://services.igi-global.com/resolvedoi/resolve.aspx?doi=10.4018/978-1-46661-975-3")</f>
        <v>http://services.igi-global.com/resolvedoi/resolve.aspx?doi=10.4018/978-1-46661-975-3</v>
      </c>
    </row>
    <row r="53" spans="1:14">
      <c r="A53" s="31">
        <v>52</v>
      </c>
      <c r="B53" s="31" t="s">
        <v>571</v>
      </c>
      <c r="C53" s="31" t="s">
        <v>554</v>
      </c>
      <c r="D53" s="32" t="s">
        <v>2833</v>
      </c>
      <c r="E53" s="32" t="s">
        <v>2833</v>
      </c>
      <c r="F53" s="31" t="s">
        <v>2834</v>
      </c>
      <c r="G53" s="31" t="s">
        <v>2835</v>
      </c>
      <c r="H53" s="31" t="s">
        <v>2836</v>
      </c>
      <c r="I53" s="31">
        <v>1</v>
      </c>
      <c r="J53" s="31">
        <v>1</v>
      </c>
      <c r="K53" s="31" t="s">
        <v>2837</v>
      </c>
      <c r="L53" s="31" t="s">
        <v>569</v>
      </c>
      <c r="M53" s="31">
        <v>2013</v>
      </c>
      <c r="N53" s="33" t="str">
        <f>HYPERLINK("http://services.igi-global.com/resolvedoi/resolve.aspx?doi=10.4018/978-1-46662-815-1")</f>
        <v>http://services.igi-global.com/resolvedoi/resolve.aspx?doi=10.4018/978-1-46662-815-1</v>
      </c>
    </row>
    <row r="54" spans="1:14">
      <c r="A54" s="31">
        <v>53</v>
      </c>
      <c r="B54" s="31" t="s">
        <v>571</v>
      </c>
      <c r="C54" s="31" t="s">
        <v>554</v>
      </c>
      <c r="D54" s="32" t="s">
        <v>3043</v>
      </c>
      <c r="E54" s="32" t="s">
        <v>3044</v>
      </c>
      <c r="F54" s="31" t="s">
        <v>3045</v>
      </c>
      <c r="G54" s="31" t="s">
        <v>3046</v>
      </c>
      <c r="H54" s="31" t="s">
        <v>3047</v>
      </c>
      <c r="I54" s="31">
        <v>1</v>
      </c>
      <c r="J54" s="31">
        <v>1</v>
      </c>
      <c r="K54" s="31" t="s">
        <v>3048</v>
      </c>
      <c r="L54" s="31" t="s">
        <v>569</v>
      </c>
      <c r="M54" s="31">
        <v>2011</v>
      </c>
      <c r="N54" s="33" t="str">
        <f>HYPERLINK("http://services.igi-global.com/resolvedoi/resolve.aspx?doi=10.4018/978-1-60960-623-7")</f>
        <v>http://services.igi-global.com/resolvedoi/resolve.aspx?doi=10.4018/978-1-60960-623-7</v>
      </c>
    </row>
    <row r="55" spans="1:14">
      <c r="A55" s="31">
        <v>54</v>
      </c>
      <c r="B55" s="31" t="s">
        <v>571</v>
      </c>
      <c r="C55" s="31" t="s">
        <v>554</v>
      </c>
      <c r="D55" s="32" t="s">
        <v>2843</v>
      </c>
      <c r="E55" s="32" t="s">
        <v>2844</v>
      </c>
      <c r="F55" s="31" t="s">
        <v>2845</v>
      </c>
      <c r="G55" s="31" t="s">
        <v>2846</v>
      </c>
      <c r="H55" s="31" t="s">
        <v>2847</v>
      </c>
      <c r="I55" s="31">
        <v>1</v>
      </c>
      <c r="J55" s="31">
        <v>1</v>
      </c>
      <c r="K55" s="31" t="s">
        <v>2848</v>
      </c>
      <c r="L55" s="31" t="s">
        <v>569</v>
      </c>
      <c r="M55" s="31">
        <v>2010</v>
      </c>
      <c r="N55" s="33" t="str">
        <f>HYPERLINK("http://services.igi-global.com/resolvedoi/resolve.aspx?doi=10.4018/978-1-60566-878-9")</f>
        <v>http://services.igi-global.com/resolvedoi/resolve.aspx?doi=10.4018/978-1-60566-878-9</v>
      </c>
    </row>
    <row r="56" spans="1:14">
      <c r="A56" s="31">
        <v>55</v>
      </c>
      <c r="B56" s="31" t="s">
        <v>571</v>
      </c>
      <c r="C56" s="31" t="s">
        <v>554</v>
      </c>
      <c r="D56" s="32" t="s">
        <v>3067</v>
      </c>
      <c r="E56" s="32" t="s">
        <v>3068</v>
      </c>
      <c r="F56" s="31" t="s">
        <v>3069</v>
      </c>
      <c r="G56" s="31" t="s">
        <v>3070</v>
      </c>
      <c r="H56" s="31" t="s">
        <v>3071</v>
      </c>
      <c r="I56" s="31">
        <v>1</v>
      </c>
      <c r="J56" s="31">
        <v>1</v>
      </c>
      <c r="K56" s="31" t="s">
        <v>3072</v>
      </c>
      <c r="L56" s="31" t="s">
        <v>569</v>
      </c>
      <c r="M56" s="31">
        <v>2013</v>
      </c>
      <c r="N56" s="33" t="str">
        <f>HYPERLINK("http://services.igi-global.com/resolvedoi/resolve.aspx?doi=10.4018/978-1-46661-969-2")</f>
        <v>http://services.igi-global.com/resolvedoi/resolve.aspx?doi=10.4018/978-1-46661-969-2</v>
      </c>
    </row>
    <row r="57" spans="1:14">
      <c r="A57" s="31">
        <v>56</v>
      </c>
      <c r="B57" s="31" t="s">
        <v>571</v>
      </c>
      <c r="C57" s="31" t="s">
        <v>554</v>
      </c>
      <c r="D57" s="32" t="s">
        <v>3038</v>
      </c>
      <c r="E57" s="32" t="s">
        <v>3039</v>
      </c>
      <c r="F57" s="31" t="s">
        <v>3040</v>
      </c>
      <c r="G57" s="31" t="s">
        <v>3041</v>
      </c>
      <c r="H57" s="31" t="s">
        <v>3042</v>
      </c>
      <c r="I57" s="31">
        <v>2</v>
      </c>
      <c r="J57" s="31">
        <v>1</v>
      </c>
      <c r="K57" s="31" t="s">
        <v>555</v>
      </c>
      <c r="L57" s="31" t="s">
        <v>569</v>
      </c>
      <c r="M57" s="31">
        <v>2013</v>
      </c>
      <c r="N57" s="33" t="str">
        <f>HYPERLINK("http://services.igi-global.com/resolvedoi/resolve.aspx?doi=10.4018/978-1-46662-181-7")</f>
        <v>http://services.igi-global.com/resolvedoi/resolve.aspx?doi=10.4018/978-1-46662-181-7</v>
      </c>
    </row>
    <row r="58" spans="1:14">
      <c r="A58" s="31">
        <v>57</v>
      </c>
      <c r="B58" s="31" t="s">
        <v>571</v>
      </c>
      <c r="C58" s="31" t="s">
        <v>554</v>
      </c>
      <c r="D58" s="32">
        <v>502.3</v>
      </c>
      <c r="E58" s="32" t="s">
        <v>3220</v>
      </c>
      <c r="F58" s="31" t="s">
        <v>3221</v>
      </c>
      <c r="G58" s="31" t="s">
        <v>3222</v>
      </c>
      <c r="H58" s="31" t="s">
        <v>3223</v>
      </c>
      <c r="I58" s="31">
        <v>1</v>
      </c>
      <c r="J58" s="31">
        <v>1</v>
      </c>
      <c r="K58" s="31" t="s">
        <v>2079</v>
      </c>
      <c r="L58" s="31" t="s">
        <v>1233</v>
      </c>
      <c r="M58" s="31">
        <v>2010</v>
      </c>
      <c r="N58" s="33" t="str">
        <f>HYPERLINK("http://services.igi-global.com/resolvedoi/resolve.aspx?doi=10.4018/978-1-61520-657-5")</f>
        <v>http://services.igi-global.com/resolvedoi/resolve.aspx?doi=10.4018/978-1-61520-657-5</v>
      </c>
    </row>
    <row r="59" spans="1:14">
      <c r="A59" s="31">
        <v>58</v>
      </c>
      <c r="B59" s="31" t="s">
        <v>571</v>
      </c>
      <c r="C59" s="31" t="s">
        <v>554</v>
      </c>
      <c r="D59" s="32" t="s">
        <v>3032</v>
      </c>
      <c r="E59" s="32" t="s">
        <v>3033</v>
      </c>
      <c r="F59" s="31" t="s">
        <v>3034</v>
      </c>
      <c r="G59" s="31" t="s">
        <v>3035</v>
      </c>
      <c r="H59" s="31" t="s">
        <v>3036</v>
      </c>
      <c r="I59" s="31">
        <v>1</v>
      </c>
      <c r="J59" s="31">
        <v>1</v>
      </c>
      <c r="K59" s="31" t="s">
        <v>3037</v>
      </c>
      <c r="L59" s="31" t="s">
        <v>569</v>
      </c>
      <c r="M59" s="31">
        <v>2012</v>
      </c>
      <c r="N59" s="33" t="str">
        <f>HYPERLINK("http://services.igi-global.com/resolvedoi/resolve.aspx?doi=10.4018/978-1-61350-510-6")</f>
        <v>http://services.igi-global.com/resolvedoi/resolve.aspx?doi=10.4018/978-1-61350-510-6</v>
      </c>
    </row>
    <row r="60" spans="1:14">
      <c r="A60" s="31">
        <v>59</v>
      </c>
      <c r="B60" s="31" t="s">
        <v>571</v>
      </c>
      <c r="C60" s="31" t="s">
        <v>554</v>
      </c>
      <c r="D60" s="32" t="s">
        <v>3134</v>
      </c>
      <c r="E60" s="32" t="s">
        <v>3135</v>
      </c>
      <c r="F60" s="31" t="s">
        <v>3136</v>
      </c>
      <c r="G60" s="31" t="s">
        <v>3137</v>
      </c>
      <c r="H60" s="31" t="s">
        <v>3138</v>
      </c>
      <c r="I60" s="31">
        <v>1</v>
      </c>
      <c r="J60" s="31">
        <v>1</v>
      </c>
      <c r="K60" s="31" t="s">
        <v>3139</v>
      </c>
      <c r="L60" s="31" t="s">
        <v>569</v>
      </c>
      <c r="M60" s="31">
        <v>2010</v>
      </c>
      <c r="N60" s="33" t="str">
        <f>HYPERLINK("http://services.igi-global.com/resolvedoi/resolve.aspx?doi=10.4018/978-1-61520-835-7")</f>
        <v>http://services.igi-global.com/resolvedoi/resolve.aspx?doi=10.4018/978-1-61520-835-7</v>
      </c>
    </row>
    <row r="61" spans="1:14">
      <c r="A61" s="31">
        <v>60</v>
      </c>
      <c r="B61" s="31" t="s">
        <v>571</v>
      </c>
      <c r="C61" s="31" t="s">
        <v>554</v>
      </c>
      <c r="D61" s="32" t="s">
        <v>1879</v>
      </c>
      <c r="E61" s="32" t="s">
        <v>3124</v>
      </c>
      <c r="F61" s="31" t="s">
        <v>3125</v>
      </c>
      <c r="G61" s="31" t="s">
        <v>3126</v>
      </c>
      <c r="H61" s="31" t="s">
        <v>3127</v>
      </c>
      <c r="I61" s="31">
        <v>1</v>
      </c>
      <c r="J61" s="31">
        <v>1</v>
      </c>
      <c r="K61" s="31" t="s">
        <v>3128</v>
      </c>
      <c r="L61" s="31" t="s">
        <v>569</v>
      </c>
      <c r="M61" s="31">
        <v>2013</v>
      </c>
      <c r="N61" s="33" t="str">
        <f>HYPERLINK("http://services.igi-global.com/resolvedoi/resolve.aspx?doi=10.4018/978-1-46662-851-9")</f>
        <v>http://services.igi-global.com/resolvedoi/resolve.aspx?doi=10.4018/978-1-46662-851-9</v>
      </c>
    </row>
    <row r="62" spans="1:14">
      <c r="A62" s="31">
        <v>61</v>
      </c>
      <c r="B62" s="31" t="s">
        <v>571</v>
      </c>
      <c r="C62" s="31" t="s">
        <v>554</v>
      </c>
      <c r="D62" s="32">
        <v>371.10199999999998</v>
      </c>
      <c r="E62" s="32" t="s">
        <v>3215</v>
      </c>
      <c r="F62" s="31" t="s">
        <v>3216</v>
      </c>
      <c r="G62" s="31" t="s">
        <v>3217</v>
      </c>
      <c r="H62" s="31" t="s">
        <v>3218</v>
      </c>
      <c r="I62" s="31">
        <v>1</v>
      </c>
      <c r="J62" s="31">
        <v>1</v>
      </c>
      <c r="K62" s="31" t="s">
        <v>3219</v>
      </c>
      <c r="L62" s="31" t="s">
        <v>569</v>
      </c>
      <c r="M62" s="31">
        <v>2013</v>
      </c>
      <c r="N62" s="33" t="str">
        <f>HYPERLINK("http://services.igi-global.com/resolvedoi/resolve.aspx?doi=10.4018/978-1-46662-023-0")</f>
        <v>http://services.igi-global.com/resolvedoi/resolve.aspx?doi=10.4018/978-1-46662-023-0</v>
      </c>
    </row>
    <row r="63" spans="1:14">
      <c r="A63" s="31">
        <v>62</v>
      </c>
      <c r="B63" s="31" t="s">
        <v>571</v>
      </c>
      <c r="C63" s="31" t="s">
        <v>554</v>
      </c>
      <c r="D63" s="32">
        <v>371.33</v>
      </c>
      <c r="E63" s="32" t="s">
        <v>3195</v>
      </c>
      <c r="F63" s="31" t="s">
        <v>3196</v>
      </c>
      <c r="G63" s="31" t="s">
        <v>3197</v>
      </c>
      <c r="H63" s="31" t="s">
        <v>3198</v>
      </c>
      <c r="I63" s="31">
        <v>1</v>
      </c>
      <c r="J63" s="31">
        <v>1</v>
      </c>
      <c r="K63" s="31" t="s">
        <v>3199</v>
      </c>
      <c r="L63" s="31" t="s">
        <v>569</v>
      </c>
      <c r="M63" s="31">
        <v>2013</v>
      </c>
      <c r="N63" s="33" t="str">
        <f>HYPERLINK("http://services.igi-global.com/resolvedoi/resolve.aspx?doi=10.4018/978-1-46662-955-4")</f>
        <v>http://services.igi-global.com/resolvedoi/resolve.aspx?doi=10.4018/978-1-46662-955-4</v>
      </c>
    </row>
    <row r="64" spans="1:14">
      <c r="A64" s="31">
        <v>63</v>
      </c>
      <c r="B64" s="31" t="s">
        <v>571</v>
      </c>
      <c r="C64" s="31" t="s">
        <v>554</v>
      </c>
      <c r="D64" s="32" t="s">
        <v>2866</v>
      </c>
      <c r="E64" s="32" t="s">
        <v>2867</v>
      </c>
      <c r="F64" s="31" t="s">
        <v>2868</v>
      </c>
      <c r="G64" s="31" t="s">
        <v>2869</v>
      </c>
      <c r="H64" s="31" t="s">
        <v>2870</v>
      </c>
      <c r="I64" s="31">
        <v>1</v>
      </c>
      <c r="J64" s="31">
        <v>1</v>
      </c>
      <c r="K64" s="31" t="s">
        <v>558</v>
      </c>
      <c r="L64" s="31" t="s">
        <v>569</v>
      </c>
      <c r="M64" s="31">
        <v>2013</v>
      </c>
      <c r="N64" s="33" t="str">
        <f>HYPERLINK("http://services.igi-global.com/resolvedoi/resolve.aspx?doi=10.4018/978-1-46661-933-3")</f>
        <v>http://services.igi-global.com/resolvedoi/resolve.aspx?doi=10.4018/978-1-46661-933-3</v>
      </c>
    </row>
    <row r="65" spans="1:14">
      <c r="A65" s="31">
        <v>64</v>
      </c>
      <c r="B65" s="31" t="s">
        <v>571</v>
      </c>
      <c r="C65" s="31" t="s">
        <v>554</v>
      </c>
      <c r="D65" s="32">
        <v>371.33</v>
      </c>
      <c r="E65" s="32" t="s">
        <v>2861</v>
      </c>
      <c r="F65" s="31" t="s">
        <v>2862</v>
      </c>
      <c r="G65" s="31" t="s">
        <v>2863</v>
      </c>
      <c r="H65" s="31" t="s">
        <v>2864</v>
      </c>
      <c r="I65" s="31">
        <v>1</v>
      </c>
      <c r="J65" s="31">
        <v>1</v>
      </c>
      <c r="K65" s="31" t="s">
        <v>2865</v>
      </c>
      <c r="L65" s="31" t="s">
        <v>569</v>
      </c>
      <c r="M65" s="31">
        <v>2013</v>
      </c>
      <c r="N65" s="33" t="str">
        <f>HYPERLINK("http://services.igi-global.com/resolvedoi/resolve.aspx?doi=10.4018/978-1-46663-676-7")</f>
        <v>http://services.igi-global.com/resolvedoi/resolve.aspx?doi=10.4018/978-1-46663-676-7</v>
      </c>
    </row>
    <row r="66" spans="1:14">
      <c r="A66" s="31">
        <v>65</v>
      </c>
      <c r="B66" s="31" t="s">
        <v>571</v>
      </c>
      <c r="C66" s="31" t="s">
        <v>554</v>
      </c>
      <c r="D66" s="32">
        <v>371.33</v>
      </c>
      <c r="E66" s="32" t="s">
        <v>2871</v>
      </c>
      <c r="F66" s="31" t="s">
        <v>2872</v>
      </c>
      <c r="G66" s="31" t="s">
        <v>2873</v>
      </c>
      <c r="H66" s="31" t="s">
        <v>2874</v>
      </c>
      <c r="I66" s="31">
        <v>1</v>
      </c>
      <c r="J66" s="31">
        <v>1</v>
      </c>
      <c r="K66" s="31" t="s">
        <v>558</v>
      </c>
      <c r="L66" s="31" t="s">
        <v>569</v>
      </c>
      <c r="M66" s="31">
        <v>2013</v>
      </c>
      <c r="N66" s="33" t="str">
        <f>HYPERLINK("http://services.igi-global.com/resolvedoi/resolve.aspx?doi=10.4018/978-1-46661-930-2")</f>
        <v>http://services.igi-global.com/resolvedoi/resolve.aspx?doi=10.4018/978-1-46661-930-2</v>
      </c>
    </row>
    <row r="67" spans="1:14">
      <c r="A67" s="31">
        <v>66</v>
      </c>
      <c r="B67" s="31" t="s">
        <v>571</v>
      </c>
      <c r="C67" s="31" t="s">
        <v>554</v>
      </c>
      <c r="D67" s="32">
        <v>371.33</v>
      </c>
      <c r="E67" s="32" t="s">
        <v>2892</v>
      </c>
      <c r="F67" s="31" t="s">
        <v>2893</v>
      </c>
      <c r="G67" s="31" t="s">
        <v>2894</v>
      </c>
      <c r="H67" s="31" t="s">
        <v>2895</v>
      </c>
      <c r="I67" s="31">
        <v>1</v>
      </c>
      <c r="J67" s="31">
        <v>1</v>
      </c>
      <c r="K67" s="31" t="s">
        <v>558</v>
      </c>
      <c r="L67" s="31" t="s">
        <v>569</v>
      </c>
      <c r="M67" s="31">
        <v>2013</v>
      </c>
      <c r="N67" s="33" t="str">
        <f>HYPERLINK("http://services.igi-global.com/resolvedoi/resolve.aspx?doi=10.4018/978-1-46661-936-4")</f>
        <v>http://services.igi-global.com/resolvedoi/resolve.aspx?doi=10.4018/978-1-46661-936-4</v>
      </c>
    </row>
    <row r="68" spans="1:14">
      <c r="A68" s="31">
        <v>67</v>
      </c>
      <c r="B68" s="31" t="s">
        <v>571</v>
      </c>
      <c r="C68" s="31" t="s">
        <v>554</v>
      </c>
      <c r="D68" s="32">
        <v>371.33</v>
      </c>
      <c r="E68" s="32" t="s">
        <v>2976</v>
      </c>
      <c r="F68" s="31" t="s">
        <v>2977</v>
      </c>
      <c r="G68" s="31" t="s">
        <v>2978</v>
      </c>
      <c r="H68" s="31" t="s">
        <v>2979</v>
      </c>
      <c r="I68" s="31">
        <v>1</v>
      </c>
      <c r="J68" s="31">
        <v>1</v>
      </c>
      <c r="K68" s="31" t="s">
        <v>2980</v>
      </c>
      <c r="L68" s="31" t="s">
        <v>569</v>
      </c>
      <c r="M68" s="31">
        <v>2012</v>
      </c>
      <c r="N68" s="33" t="str">
        <f>HYPERLINK("http://services.igi-global.com/resolvedoi/resolve.aspx?doi=10.4018/978-1-60960-750-0")</f>
        <v>http://services.igi-global.com/resolvedoi/resolve.aspx?doi=10.4018/978-1-60960-750-0</v>
      </c>
    </row>
    <row r="69" spans="1:14">
      <c r="A69" s="31">
        <v>68</v>
      </c>
      <c r="B69" s="31" t="s">
        <v>571</v>
      </c>
      <c r="C69" s="31" t="s">
        <v>554</v>
      </c>
      <c r="D69" s="32">
        <v>371.33</v>
      </c>
      <c r="E69" s="32" t="s">
        <v>3054</v>
      </c>
      <c r="F69" s="31" t="s">
        <v>3055</v>
      </c>
      <c r="G69" s="31" t="s">
        <v>3056</v>
      </c>
      <c r="H69" s="31" t="s">
        <v>3057</v>
      </c>
      <c r="I69" s="31">
        <v>1</v>
      </c>
      <c r="J69" s="31">
        <v>1</v>
      </c>
      <c r="K69" s="31" t="s">
        <v>557</v>
      </c>
      <c r="L69" s="31" t="s">
        <v>569</v>
      </c>
      <c r="M69" s="31">
        <v>2013</v>
      </c>
      <c r="N69" s="33" t="str">
        <f>HYPERLINK("http://services.igi-global.com/resolvedoi/resolve.aspx?doi=10.4018/978-1-46662-139-8")</f>
        <v>http://services.igi-global.com/resolvedoi/resolve.aspx?doi=10.4018/978-1-46662-139-8</v>
      </c>
    </row>
    <row r="70" spans="1:14">
      <c r="A70" s="31">
        <v>69</v>
      </c>
      <c r="B70" s="31" t="s">
        <v>571</v>
      </c>
      <c r="C70" s="31" t="s">
        <v>554</v>
      </c>
      <c r="D70" s="32">
        <v>371.33</v>
      </c>
      <c r="E70" s="32" t="s">
        <v>3083</v>
      </c>
      <c r="F70" s="31" t="s">
        <v>3084</v>
      </c>
      <c r="G70" s="31" t="s">
        <v>3085</v>
      </c>
      <c r="H70" s="31" t="s">
        <v>3086</v>
      </c>
      <c r="I70" s="31">
        <v>1</v>
      </c>
      <c r="J70" s="31">
        <v>1</v>
      </c>
      <c r="K70" s="31" t="s">
        <v>574</v>
      </c>
      <c r="L70" s="31" t="s">
        <v>569</v>
      </c>
      <c r="M70" s="31">
        <v>2013</v>
      </c>
      <c r="N70" s="33" t="str">
        <f>HYPERLINK("http://services.igi-global.com/resolvedoi/resolve.aspx?doi=10.4018/978-1-46662-017-9")</f>
        <v>http://services.igi-global.com/resolvedoi/resolve.aspx?doi=10.4018/978-1-46662-017-9</v>
      </c>
    </row>
    <row r="71" spans="1:14">
      <c r="A71" s="31">
        <v>70</v>
      </c>
      <c r="B71" s="31" t="s">
        <v>571</v>
      </c>
      <c r="C71" s="31" t="s">
        <v>554</v>
      </c>
      <c r="D71" s="32">
        <v>371.33</v>
      </c>
      <c r="E71" s="32" t="s">
        <v>3092</v>
      </c>
      <c r="F71" s="31" t="s">
        <v>3093</v>
      </c>
      <c r="G71" s="31" t="s">
        <v>3094</v>
      </c>
      <c r="H71" s="31" t="s">
        <v>3095</v>
      </c>
      <c r="I71" s="31">
        <v>1</v>
      </c>
      <c r="J71" s="31">
        <v>1</v>
      </c>
      <c r="K71" s="31" t="s">
        <v>3096</v>
      </c>
      <c r="L71" s="31" t="s">
        <v>569</v>
      </c>
      <c r="M71" s="31">
        <v>2013</v>
      </c>
      <c r="N71" s="33" t="str">
        <f>HYPERLINK("http://services.igi-global.com/resolvedoi/resolve.aspx?doi=10.4018/978-1-46662-101-5")</f>
        <v>http://services.igi-global.com/resolvedoi/resolve.aspx?doi=10.4018/978-1-46662-101-5</v>
      </c>
    </row>
    <row r="72" spans="1:14">
      <c r="A72" s="31">
        <v>71</v>
      </c>
      <c r="B72" s="31" t="s">
        <v>571</v>
      </c>
      <c r="C72" s="31" t="s">
        <v>554</v>
      </c>
      <c r="D72" s="32">
        <v>371.33</v>
      </c>
      <c r="E72" s="32" t="s">
        <v>3167</v>
      </c>
      <c r="F72" s="31" t="s">
        <v>3168</v>
      </c>
      <c r="G72" s="31" t="s">
        <v>3169</v>
      </c>
      <c r="H72" s="31" t="s">
        <v>3170</v>
      </c>
      <c r="I72" s="31">
        <v>1</v>
      </c>
      <c r="J72" s="31">
        <v>1</v>
      </c>
      <c r="K72" s="31" t="s">
        <v>3171</v>
      </c>
      <c r="L72" s="31" t="s">
        <v>569</v>
      </c>
      <c r="M72" s="31">
        <v>2012</v>
      </c>
      <c r="N72" s="33" t="str">
        <f>HYPERLINK("http://services.igi-global.com/resolvedoi/resolve.aspx?doi=10.4018/978-1-61350-347-8")</f>
        <v>http://services.igi-global.com/resolvedoi/resolve.aspx?doi=10.4018/978-1-61350-347-8</v>
      </c>
    </row>
    <row r="73" spans="1:14">
      <c r="A73" s="31">
        <v>72</v>
      </c>
      <c r="B73" s="31" t="s">
        <v>571</v>
      </c>
      <c r="C73" s="31" t="s">
        <v>554</v>
      </c>
      <c r="D73" s="32">
        <v>371.33</v>
      </c>
      <c r="E73" s="32" t="s">
        <v>3187</v>
      </c>
      <c r="F73" s="31" t="s">
        <v>3188</v>
      </c>
      <c r="G73" s="31" t="s">
        <v>3189</v>
      </c>
      <c r="H73" s="31" t="s">
        <v>3190</v>
      </c>
      <c r="I73" s="31">
        <v>1</v>
      </c>
      <c r="J73" s="31">
        <v>1</v>
      </c>
      <c r="K73" s="31" t="s">
        <v>577</v>
      </c>
      <c r="L73" s="31" t="s">
        <v>569</v>
      </c>
      <c r="M73" s="31">
        <v>2013</v>
      </c>
      <c r="N73" s="33" t="str">
        <f>HYPERLINK("http://services.igi-global.com/resolvedoi/resolve.aspx?doi=10.4018/978-1-46662-467-2")</f>
        <v>http://services.igi-global.com/resolvedoi/resolve.aspx?doi=10.4018/978-1-46662-467-2</v>
      </c>
    </row>
    <row r="74" spans="1:14">
      <c r="A74" s="31">
        <v>73</v>
      </c>
      <c r="B74" s="31" t="s">
        <v>571</v>
      </c>
      <c r="C74" s="31" t="s">
        <v>554</v>
      </c>
      <c r="D74" s="32">
        <v>372.13299999999998</v>
      </c>
      <c r="E74" s="32" t="s">
        <v>3191</v>
      </c>
      <c r="F74" s="31" t="s">
        <v>3192</v>
      </c>
      <c r="G74" s="31" t="s">
        <v>3193</v>
      </c>
      <c r="H74" s="31" t="s">
        <v>3194</v>
      </c>
      <c r="I74" s="31">
        <v>1</v>
      </c>
      <c r="J74" s="31">
        <v>1</v>
      </c>
      <c r="K74" s="31" t="s">
        <v>759</v>
      </c>
      <c r="L74" s="31" t="s">
        <v>569</v>
      </c>
      <c r="M74" s="31">
        <v>2012</v>
      </c>
      <c r="N74" s="33" t="str">
        <f>HYPERLINK("http://services.igi-global.com/resolvedoi/resolve.aspx?doi=10.4018/978-1-61350-059-0")</f>
        <v>http://services.igi-global.com/resolvedoi/resolve.aspx?doi=10.4018/978-1-61350-059-0</v>
      </c>
    </row>
    <row r="75" spans="1:14">
      <c r="A75" s="31">
        <v>74</v>
      </c>
      <c r="B75" s="31" t="s">
        <v>571</v>
      </c>
      <c r="C75" s="31" t="s">
        <v>554</v>
      </c>
      <c r="D75" s="32" t="s">
        <v>3118</v>
      </c>
      <c r="E75" s="32" t="s">
        <v>3119</v>
      </c>
      <c r="F75" s="31" t="s">
        <v>3120</v>
      </c>
      <c r="G75" s="31" t="s">
        <v>3121</v>
      </c>
      <c r="H75" s="31" t="s">
        <v>3122</v>
      </c>
      <c r="I75" s="31">
        <v>1</v>
      </c>
      <c r="J75" s="31">
        <v>1</v>
      </c>
      <c r="K75" s="31" t="s">
        <v>3123</v>
      </c>
      <c r="L75" s="31" t="s">
        <v>569</v>
      </c>
      <c r="M75" s="31">
        <v>2013</v>
      </c>
      <c r="N75" s="33" t="str">
        <f>HYPERLINK("http://services.igi-global.com/resolvedoi/resolve.aspx?doi=10.4018/978-1-46662-830-4")</f>
        <v>http://services.igi-global.com/resolvedoi/resolve.aspx?doi=10.4018/978-1-46662-830-4</v>
      </c>
    </row>
    <row r="76" spans="1:14">
      <c r="A76" s="31">
        <v>75</v>
      </c>
      <c r="B76" s="31" t="s">
        <v>571</v>
      </c>
      <c r="C76" s="31" t="s">
        <v>554</v>
      </c>
      <c r="D76" s="32" t="s">
        <v>517</v>
      </c>
      <c r="E76" s="32" t="s">
        <v>3058</v>
      </c>
      <c r="F76" s="31" t="s">
        <v>3059</v>
      </c>
      <c r="G76" s="31" t="s">
        <v>3060</v>
      </c>
      <c r="H76" s="31" t="s">
        <v>3061</v>
      </c>
      <c r="I76" s="31">
        <v>3</v>
      </c>
      <c r="J76" s="31">
        <v>1</v>
      </c>
      <c r="K76" s="31" t="s">
        <v>1424</v>
      </c>
      <c r="L76" s="31" t="s">
        <v>569</v>
      </c>
      <c r="M76" s="31">
        <v>2011</v>
      </c>
      <c r="N76" s="33" t="str">
        <f>HYPERLINK("http://services.igi-global.com/resolvedoi/resolve.aspx?doi=10.4018/978-1-60960-503-2")</f>
        <v>http://services.igi-global.com/resolvedoi/resolve.aspx?doi=10.4018/978-1-60960-503-2</v>
      </c>
    </row>
    <row r="77" spans="1:14">
      <c r="A77" s="31">
        <v>76</v>
      </c>
      <c r="B77" s="31" t="s">
        <v>571</v>
      </c>
      <c r="C77" s="31" t="s">
        <v>554</v>
      </c>
      <c r="D77" s="32" t="s">
        <v>517</v>
      </c>
      <c r="E77" s="32" t="s">
        <v>2981</v>
      </c>
      <c r="F77" s="31" t="s">
        <v>2982</v>
      </c>
      <c r="G77" s="31" t="s">
        <v>2983</v>
      </c>
      <c r="H77" s="31" t="s">
        <v>2984</v>
      </c>
      <c r="I77" s="31">
        <v>1</v>
      </c>
      <c r="J77" s="31">
        <v>1</v>
      </c>
      <c r="K77" s="31" t="s">
        <v>2985</v>
      </c>
      <c r="L77" s="31" t="s">
        <v>569</v>
      </c>
      <c r="M77" s="31">
        <v>2009</v>
      </c>
      <c r="N77" s="33" t="str">
        <f>HYPERLINK("http://services.igi-global.com/resolvedoi/resolve.aspx?doi=10.4018/978-1-60566-410-1")</f>
        <v>http://services.igi-global.com/resolvedoi/resolve.aspx?doi=10.4018/978-1-60566-410-1</v>
      </c>
    </row>
    <row r="78" spans="1:14">
      <c r="A78" s="31">
        <v>77</v>
      </c>
      <c r="B78" s="31" t="s">
        <v>571</v>
      </c>
      <c r="C78" s="31" t="s">
        <v>554</v>
      </c>
      <c r="D78" s="32">
        <v>371.3</v>
      </c>
      <c r="E78" s="32" t="s">
        <v>2965</v>
      </c>
      <c r="F78" s="31" t="s">
        <v>2966</v>
      </c>
      <c r="G78" s="31" t="s">
        <v>2967</v>
      </c>
      <c r="H78" s="31" t="s">
        <v>2968</v>
      </c>
      <c r="I78" s="31">
        <v>1</v>
      </c>
      <c r="J78" s="31">
        <v>1</v>
      </c>
      <c r="K78" s="31" t="s">
        <v>2969</v>
      </c>
      <c r="L78" s="31" t="s">
        <v>569</v>
      </c>
      <c r="M78" s="31">
        <v>2013</v>
      </c>
      <c r="N78" s="33" t="str">
        <f>HYPERLINK("http://services.igi-global.com/resolvedoi/resolve.aspx?doi=10.4018/978-1-46662-110-7")</f>
        <v>http://services.igi-global.com/resolvedoi/resolve.aspx?doi=10.4018/978-1-46662-110-7</v>
      </c>
    </row>
    <row r="79" spans="1:14">
      <c r="A79" s="31">
        <v>78</v>
      </c>
      <c r="B79" s="31" t="s">
        <v>571</v>
      </c>
      <c r="C79" s="31" t="s">
        <v>554</v>
      </c>
      <c r="D79" s="32" t="s">
        <v>2970</v>
      </c>
      <c r="E79" s="32" t="s">
        <v>2971</v>
      </c>
      <c r="F79" s="31" t="s">
        <v>2972</v>
      </c>
      <c r="G79" s="31" t="s">
        <v>2973</v>
      </c>
      <c r="H79" s="31" t="s">
        <v>2974</v>
      </c>
      <c r="I79" s="31">
        <v>1</v>
      </c>
      <c r="J79" s="31">
        <v>1</v>
      </c>
      <c r="K79" s="31" t="s">
        <v>2975</v>
      </c>
      <c r="L79" s="31" t="s">
        <v>569</v>
      </c>
      <c r="M79" s="31">
        <v>2012</v>
      </c>
      <c r="N79" s="33" t="str">
        <f>HYPERLINK("http://services.igi-global.com/resolvedoi/resolve.aspx?doi=10.4018/978-1-46660-137-6")</f>
        <v>http://services.igi-global.com/resolvedoi/resolve.aspx?doi=10.4018/978-1-46660-137-6</v>
      </c>
    </row>
    <row r="80" spans="1:14">
      <c r="A80" s="31">
        <v>79</v>
      </c>
      <c r="B80" s="31" t="s">
        <v>571</v>
      </c>
      <c r="C80" s="31" t="s">
        <v>554</v>
      </c>
      <c r="D80" s="32">
        <v>371.3</v>
      </c>
      <c r="E80" s="32" t="s">
        <v>3206</v>
      </c>
      <c r="F80" s="31" t="s">
        <v>3207</v>
      </c>
      <c r="G80" s="31" t="s">
        <v>3208</v>
      </c>
      <c r="H80" s="31" t="s">
        <v>3209</v>
      </c>
      <c r="I80" s="31">
        <v>1</v>
      </c>
      <c r="J80" s="31">
        <v>1</v>
      </c>
      <c r="K80" s="31" t="s">
        <v>3210</v>
      </c>
      <c r="L80" s="31" t="s">
        <v>569</v>
      </c>
      <c r="M80" s="31">
        <v>2013</v>
      </c>
      <c r="N80" s="33" t="str">
        <f>HYPERLINK("http://services.igi-global.com/resolvedoi/resolve.aspx?doi=10.4018/978-1-46662-014-8")</f>
        <v>http://services.igi-global.com/resolvedoi/resolve.aspx?doi=10.4018/978-1-46662-014-8</v>
      </c>
    </row>
    <row r="81" spans="1:14">
      <c r="A81" s="31">
        <v>80</v>
      </c>
      <c r="B81" s="31" t="s">
        <v>571</v>
      </c>
      <c r="C81" s="31" t="s">
        <v>554</v>
      </c>
      <c r="D81" s="32" t="s">
        <v>2944</v>
      </c>
      <c r="E81" s="32" t="s">
        <v>2945</v>
      </c>
      <c r="F81" s="31" t="s">
        <v>2946</v>
      </c>
      <c r="G81" s="31" t="s">
        <v>2947</v>
      </c>
      <c r="H81" s="31" t="s">
        <v>2948</v>
      </c>
      <c r="I81" s="31">
        <v>1</v>
      </c>
      <c r="J81" s="31">
        <v>1</v>
      </c>
      <c r="K81" s="31" t="s">
        <v>2949</v>
      </c>
      <c r="L81" s="31" t="s">
        <v>569</v>
      </c>
      <c r="M81" s="31">
        <v>2013</v>
      </c>
      <c r="N81" s="33" t="str">
        <f>HYPERLINK("http://services.igi-global.com/resolvedoi/resolve.aspx?doi=10.4018/978-1-46661-864-0")</f>
        <v>http://services.igi-global.com/resolvedoi/resolve.aspx?doi=10.4018/978-1-46661-864-0</v>
      </c>
    </row>
    <row r="82" spans="1:14">
      <c r="A82" s="31">
        <v>81</v>
      </c>
      <c r="B82" s="31" t="s">
        <v>571</v>
      </c>
      <c r="C82" s="31" t="s">
        <v>554</v>
      </c>
      <c r="D82" s="32" t="s">
        <v>3016</v>
      </c>
      <c r="E82" s="32" t="s">
        <v>3017</v>
      </c>
      <c r="F82" s="31" t="s">
        <v>3018</v>
      </c>
      <c r="G82" s="31" t="s">
        <v>3019</v>
      </c>
      <c r="H82" s="31" t="s">
        <v>3020</v>
      </c>
      <c r="I82" s="31">
        <v>1</v>
      </c>
      <c r="J82" s="31">
        <v>1</v>
      </c>
      <c r="K82" s="31" t="s">
        <v>2860</v>
      </c>
      <c r="L82" s="31" t="s">
        <v>569</v>
      </c>
      <c r="M82" s="31">
        <v>2010</v>
      </c>
      <c r="N82" s="33" t="str">
        <f>HYPERLINK("http://services.igi-global.com/resolvedoi/resolve.aspx?doi=10.4018/978-1-61520-713-8")</f>
        <v>http://services.igi-global.com/resolvedoi/resolve.aspx?doi=10.4018/978-1-61520-713-8</v>
      </c>
    </row>
    <row r="83" spans="1:14">
      <c r="A83" s="31">
        <v>82</v>
      </c>
      <c r="B83" s="31" t="s">
        <v>571</v>
      </c>
      <c r="C83" s="31" t="s">
        <v>554</v>
      </c>
      <c r="D83" s="32" t="s">
        <v>2855</v>
      </c>
      <c r="E83" s="32" t="s">
        <v>3107</v>
      </c>
      <c r="F83" s="31" t="s">
        <v>3108</v>
      </c>
      <c r="G83" s="31" t="s">
        <v>3109</v>
      </c>
      <c r="H83" s="31" t="s">
        <v>3110</v>
      </c>
      <c r="I83" s="31">
        <v>1</v>
      </c>
      <c r="J83" s="31">
        <v>1</v>
      </c>
      <c r="K83" s="31" t="s">
        <v>3111</v>
      </c>
      <c r="L83" s="31" t="s">
        <v>569</v>
      </c>
      <c r="M83" s="31">
        <v>2013</v>
      </c>
      <c r="N83" s="33" t="str">
        <f>HYPERLINK("http://services.igi-global.com/resolvedoi/resolve.aspx?doi=10.4018/978-1-46663-950-8")</f>
        <v>http://services.igi-global.com/resolvedoi/resolve.aspx?doi=10.4018/978-1-46663-950-8</v>
      </c>
    </row>
    <row r="84" spans="1:14">
      <c r="A84" s="31">
        <v>83</v>
      </c>
      <c r="B84" s="31" t="s">
        <v>571</v>
      </c>
      <c r="C84" s="31" t="s">
        <v>554</v>
      </c>
      <c r="D84" s="32" t="s">
        <v>2855</v>
      </c>
      <c r="E84" s="32" t="s">
        <v>2856</v>
      </c>
      <c r="F84" s="32" t="s">
        <v>2857</v>
      </c>
      <c r="G84" s="31" t="s">
        <v>2858</v>
      </c>
      <c r="H84" s="31" t="s">
        <v>2859</v>
      </c>
      <c r="I84" s="31">
        <v>1</v>
      </c>
      <c r="J84" s="31">
        <v>1</v>
      </c>
      <c r="K84" s="31" t="s">
        <v>2860</v>
      </c>
      <c r="L84" s="31" t="s">
        <v>569</v>
      </c>
      <c r="M84" s="31">
        <v>2013</v>
      </c>
      <c r="N84" s="33" t="str">
        <f>HYPERLINK("http://services.igi-global.com/resolvedoi/resolve.aspx?doi=10.4018/978-1-46662-848-9")</f>
        <v>http://services.igi-global.com/resolvedoi/resolve.aspx?doi=10.4018/978-1-46662-848-9</v>
      </c>
    </row>
    <row r="85" spans="1:14">
      <c r="A85" s="31">
        <v>84</v>
      </c>
      <c r="B85" s="31" t="s">
        <v>571</v>
      </c>
      <c r="C85" s="31" t="s">
        <v>554</v>
      </c>
      <c r="D85" s="32" t="s">
        <v>2855</v>
      </c>
      <c r="E85" s="32" t="s">
        <v>2929</v>
      </c>
      <c r="F85" s="31" t="s">
        <v>2930</v>
      </c>
      <c r="G85" s="31" t="s">
        <v>2931</v>
      </c>
      <c r="H85" s="31" t="s">
        <v>2932</v>
      </c>
      <c r="I85" s="31">
        <v>1</v>
      </c>
      <c r="J85" s="31">
        <v>1</v>
      </c>
      <c r="K85" s="31" t="s">
        <v>2933</v>
      </c>
      <c r="L85" s="31" t="s">
        <v>569</v>
      </c>
      <c r="M85" s="31">
        <v>2013</v>
      </c>
      <c r="N85" s="33" t="str">
        <f>HYPERLINK("http://services.igi-global.com/resolvedoi/resolve.aspx?doi=10.4018/978-1-46664-018-4")</f>
        <v>http://services.igi-global.com/resolvedoi/resolve.aspx?doi=10.4018/978-1-46664-018-4</v>
      </c>
    </row>
    <row r="86" spans="1:14">
      <c r="A86" s="31">
        <v>85</v>
      </c>
      <c r="B86" s="31" t="s">
        <v>571</v>
      </c>
      <c r="C86" s="31" t="s">
        <v>554</v>
      </c>
      <c r="D86" s="32" t="s">
        <v>2990</v>
      </c>
      <c r="E86" s="32" t="s">
        <v>2991</v>
      </c>
      <c r="F86" s="31" t="s">
        <v>2992</v>
      </c>
      <c r="G86" s="31" t="s">
        <v>2993</v>
      </c>
      <c r="H86" s="31" t="s">
        <v>2994</v>
      </c>
      <c r="I86" s="31">
        <v>1</v>
      </c>
      <c r="J86" s="31">
        <v>1</v>
      </c>
      <c r="K86" s="31" t="s">
        <v>2995</v>
      </c>
      <c r="L86" s="31" t="s">
        <v>569</v>
      </c>
      <c r="M86" s="31">
        <v>2013</v>
      </c>
      <c r="N86" s="33" t="str">
        <f>HYPERLINK("http://services.igi-global.com/resolvedoi/resolve.aspx?doi=10.4018/978-1-46663-962-1")</f>
        <v>http://services.igi-global.com/resolvedoi/resolve.aspx?doi=10.4018/978-1-46663-962-1</v>
      </c>
    </row>
    <row r="87" spans="1:14">
      <c r="A87" s="31">
        <v>86</v>
      </c>
      <c r="B87" s="31" t="s">
        <v>571</v>
      </c>
      <c r="C87" s="31" t="s">
        <v>554</v>
      </c>
      <c r="D87" s="32" t="s">
        <v>2849</v>
      </c>
      <c r="E87" s="32" t="s">
        <v>2850</v>
      </c>
      <c r="F87" s="31" t="s">
        <v>2851</v>
      </c>
      <c r="G87" s="31" t="s">
        <v>2852</v>
      </c>
      <c r="H87" s="31" t="s">
        <v>2853</v>
      </c>
      <c r="I87" s="31">
        <v>1</v>
      </c>
      <c r="J87" s="31">
        <v>1</v>
      </c>
      <c r="K87" s="31" t="s">
        <v>2854</v>
      </c>
      <c r="L87" s="31" t="s">
        <v>569</v>
      </c>
      <c r="M87" s="31">
        <v>2013</v>
      </c>
      <c r="N87" s="33" t="str">
        <f>HYPERLINK("http://services.igi-global.com/resolvedoi/resolve.aspx?doi=10.4018/978-1-46661-885-5")</f>
        <v>http://services.igi-global.com/resolvedoi/resolve.aspx?doi=10.4018/978-1-46661-885-5</v>
      </c>
    </row>
    <row r="88" spans="1:14">
      <c r="A88" s="31">
        <v>87</v>
      </c>
      <c r="B88" s="31" t="s">
        <v>571</v>
      </c>
      <c r="C88" s="31" t="s">
        <v>554</v>
      </c>
      <c r="D88" s="32" t="s">
        <v>499</v>
      </c>
      <c r="E88" s="32" t="s">
        <v>2934</v>
      </c>
      <c r="F88" s="31" t="s">
        <v>2935</v>
      </c>
      <c r="G88" s="31" t="s">
        <v>2936</v>
      </c>
      <c r="H88" s="31" t="s">
        <v>2937</v>
      </c>
      <c r="I88" s="31">
        <v>1</v>
      </c>
      <c r="J88" s="31">
        <v>1</v>
      </c>
      <c r="K88" s="31" t="s">
        <v>2938</v>
      </c>
      <c r="L88" s="31" t="s">
        <v>569</v>
      </c>
      <c r="M88" s="31">
        <v>2011</v>
      </c>
      <c r="N88" s="33" t="str">
        <f>HYPERLINK("http://services.igi-global.com/resolvedoi/resolve.aspx?doi=10.4018/978-1-61692-791-2")</f>
        <v>http://services.igi-global.com/resolvedoi/resolve.aspx?doi=10.4018/978-1-61692-791-2</v>
      </c>
    </row>
    <row r="89" spans="1:14">
      <c r="A89" s="31">
        <v>88</v>
      </c>
      <c r="B89" s="31" t="s">
        <v>571</v>
      </c>
      <c r="C89" s="31" t="s">
        <v>554</v>
      </c>
      <c r="D89" s="32" t="s">
        <v>497</v>
      </c>
      <c r="E89" s="32" t="s">
        <v>2961</v>
      </c>
      <c r="F89" s="31" t="s">
        <v>2962</v>
      </c>
      <c r="G89" s="31" t="s">
        <v>2963</v>
      </c>
      <c r="H89" s="31" t="s">
        <v>2964</v>
      </c>
      <c r="I89" s="31">
        <v>1</v>
      </c>
      <c r="J89" s="31">
        <v>1</v>
      </c>
      <c r="K89" s="31" t="s">
        <v>364</v>
      </c>
      <c r="L89" s="31" t="s">
        <v>569</v>
      </c>
      <c r="M89" s="31">
        <v>2011</v>
      </c>
      <c r="N89" s="33" t="str">
        <f>HYPERLINK("http://services.igi-global.com/resolvedoi/resolve.aspx?doi=10.4018/978-1-60960-153-9")</f>
        <v>http://services.igi-global.com/resolvedoi/resolve.aspx?doi=10.4018/978-1-60960-153-9</v>
      </c>
    </row>
    <row r="90" spans="1:14">
      <c r="A90" s="31">
        <v>89</v>
      </c>
      <c r="B90" s="31" t="s">
        <v>571</v>
      </c>
      <c r="C90" s="31" t="s">
        <v>554</v>
      </c>
      <c r="D90" s="32" t="s">
        <v>3002</v>
      </c>
      <c r="E90" s="32" t="s">
        <v>3003</v>
      </c>
      <c r="F90" s="31" t="s">
        <v>3004</v>
      </c>
      <c r="G90" s="31" t="s">
        <v>3005</v>
      </c>
      <c r="H90" s="31" t="s">
        <v>3006</v>
      </c>
      <c r="I90" s="31">
        <v>1</v>
      </c>
      <c r="J90" s="31">
        <v>1</v>
      </c>
      <c r="K90" s="31" t="s">
        <v>3007</v>
      </c>
      <c r="L90" s="31" t="s">
        <v>569</v>
      </c>
      <c r="M90" s="31">
        <v>2013</v>
      </c>
      <c r="N90" s="33" t="str">
        <f>HYPERLINK("http://services.igi-global.com/resolvedoi/resolve.aspx?doi=10.4018/978-1-46663-649-1")</f>
        <v>http://services.igi-global.com/resolvedoi/resolve.aspx?doi=10.4018/978-1-46663-649-1</v>
      </c>
    </row>
    <row r="91" spans="1:14">
      <c r="A91" s="31">
        <v>90</v>
      </c>
      <c r="B91" s="31" t="s">
        <v>571</v>
      </c>
      <c r="C91" s="31" t="s">
        <v>554</v>
      </c>
      <c r="D91" s="32" t="s">
        <v>1064</v>
      </c>
      <c r="E91" s="32" t="s">
        <v>3102</v>
      </c>
      <c r="F91" s="31" t="s">
        <v>3103</v>
      </c>
      <c r="G91" s="31" t="s">
        <v>3104</v>
      </c>
      <c r="H91" s="31" t="s">
        <v>3105</v>
      </c>
      <c r="I91" s="31">
        <v>1</v>
      </c>
      <c r="J91" s="31">
        <v>1</v>
      </c>
      <c r="K91" s="31" t="s">
        <v>3106</v>
      </c>
      <c r="L91" s="31" t="s">
        <v>569</v>
      </c>
      <c r="M91" s="31">
        <v>2011</v>
      </c>
      <c r="N91" s="33" t="str">
        <f>HYPERLINK("http://services.igi-global.com/resolvedoi/resolve.aspx?doi=10.4018/978-1-60960-545-2")</f>
        <v>http://services.igi-global.com/resolvedoi/resolve.aspx?doi=10.4018/978-1-60960-545-2</v>
      </c>
    </row>
    <row r="92" spans="1:14">
      <c r="A92" s="31">
        <v>91</v>
      </c>
      <c r="B92" s="31" t="s">
        <v>571</v>
      </c>
      <c r="C92" s="31" t="s">
        <v>554</v>
      </c>
      <c r="D92" s="32" t="s">
        <v>3112</v>
      </c>
      <c r="E92" s="32" t="s">
        <v>3113</v>
      </c>
      <c r="F92" s="31" t="s">
        <v>3114</v>
      </c>
      <c r="G92" s="31" t="s">
        <v>3115</v>
      </c>
      <c r="H92" s="31" t="s">
        <v>3116</v>
      </c>
      <c r="I92" s="31">
        <v>1</v>
      </c>
      <c r="J92" s="31">
        <v>1</v>
      </c>
      <c r="K92" s="31" t="s">
        <v>3117</v>
      </c>
      <c r="L92" s="31" t="s">
        <v>569</v>
      </c>
      <c r="M92" s="31">
        <v>2010</v>
      </c>
      <c r="N92" s="33" t="str">
        <f>HYPERLINK("http://services.igi-global.com/resolvedoi/resolve.aspx?doi=10.4018/978-1-60566-938-0")</f>
        <v>http://services.igi-global.com/resolvedoi/resolve.aspx?doi=10.4018/978-1-60566-938-0</v>
      </c>
    </row>
    <row r="93" spans="1:14">
      <c r="A93" s="31">
        <v>92</v>
      </c>
      <c r="B93" s="31" t="s">
        <v>571</v>
      </c>
      <c r="C93" s="31" t="s">
        <v>554</v>
      </c>
      <c r="D93" s="32" t="s">
        <v>499</v>
      </c>
      <c r="E93" s="32" t="s">
        <v>3140</v>
      </c>
      <c r="F93" s="31" t="s">
        <v>3141</v>
      </c>
      <c r="G93" s="31" t="s">
        <v>3142</v>
      </c>
      <c r="H93" s="31" t="s">
        <v>3143</v>
      </c>
      <c r="I93" s="31">
        <v>1</v>
      </c>
      <c r="J93" s="31">
        <v>1</v>
      </c>
      <c r="K93" s="31" t="s">
        <v>3144</v>
      </c>
      <c r="L93" s="31" t="s">
        <v>569</v>
      </c>
      <c r="M93" s="31">
        <v>2011</v>
      </c>
      <c r="N93" s="33" t="str">
        <f>HYPERLINK("http://services.igi-global.com/resolvedoi/resolve.aspx?doi=10.4018/978-1-60960-615-2")</f>
        <v>http://services.igi-global.com/resolvedoi/resolve.aspx?doi=10.4018/978-1-60960-615-2</v>
      </c>
    </row>
    <row r="94" spans="1:14">
      <c r="A94" s="31">
        <v>93</v>
      </c>
      <c r="B94" s="31" t="s">
        <v>571</v>
      </c>
      <c r="C94" s="31" t="s">
        <v>554</v>
      </c>
      <c r="D94" s="32">
        <v>371.33</v>
      </c>
      <c r="E94" s="32" t="s">
        <v>3145</v>
      </c>
      <c r="F94" s="31" t="s">
        <v>3146</v>
      </c>
      <c r="G94" s="31" t="s">
        <v>3147</v>
      </c>
      <c r="H94" s="31" t="s">
        <v>3148</v>
      </c>
      <c r="I94" s="31">
        <v>1</v>
      </c>
      <c r="J94" s="31">
        <v>1</v>
      </c>
      <c r="K94" s="31" t="s">
        <v>3149</v>
      </c>
      <c r="L94" s="31" t="s">
        <v>569</v>
      </c>
      <c r="M94" s="31">
        <v>2013</v>
      </c>
      <c r="N94" s="33" t="str">
        <f>HYPERLINK("http://services.igi-global.com/resolvedoi/resolve.aspx?doi=10.4018/978-1-46661-987-6")</f>
        <v>http://services.igi-global.com/resolvedoi/resolve.aspx?doi=10.4018/978-1-46661-987-6</v>
      </c>
    </row>
    <row r="95" spans="1:14">
      <c r="A95" s="31">
        <v>94</v>
      </c>
      <c r="B95" s="31" t="s">
        <v>571</v>
      </c>
      <c r="C95" s="31" t="s">
        <v>554</v>
      </c>
      <c r="D95" s="32">
        <v>372.6</v>
      </c>
      <c r="E95" s="32" t="s">
        <v>3177</v>
      </c>
      <c r="F95" s="31" t="s">
        <v>3178</v>
      </c>
      <c r="G95" s="31" t="s">
        <v>3179</v>
      </c>
      <c r="H95" s="31" t="s">
        <v>3180</v>
      </c>
      <c r="I95" s="31">
        <v>1</v>
      </c>
      <c r="J95" s="31">
        <v>1</v>
      </c>
      <c r="K95" s="31" t="s">
        <v>3181</v>
      </c>
      <c r="L95" s="31" t="s">
        <v>569</v>
      </c>
      <c r="M95" s="31">
        <v>2013</v>
      </c>
      <c r="N95" s="33" t="str">
        <f>HYPERLINK("http://services.igi-global.com/resolvedoi/resolve.aspx?doi=10.4018/978-1-46663-974-4")</f>
        <v>http://services.igi-global.com/resolvedoi/resolve.aspx?doi=10.4018/978-1-46663-974-4</v>
      </c>
    </row>
    <row r="96" spans="1:14">
      <c r="A96" s="31">
        <v>95</v>
      </c>
      <c r="B96" s="31" t="s">
        <v>571</v>
      </c>
      <c r="C96" s="31" t="s">
        <v>554</v>
      </c>
      <c r="D96" s="32" t="s">
        <v>2939</v>
      </c>
      <c r="E96" s="32" t="s">
        <v>2940</v>
      </c>
      <c r="F96" s="31" t="s">
        <v>2941</v>
      </c>
      <c r="G96" s="31" t="s">
        <v>2942</v>
      </c>
      <c r="H96" s="31" t="s">
        <v>2943</v>
      </c>
      <c r="I96" s="31">
        <v>1</v>
      </c>
      <c r="J96" s="31">
        <v>1</v>
      </c>
      <c r="K96" s="31" t="s">
        <v>2912</v>
      </c>
      <c r="L96" s="31" t="s">
        <v>569</v>
      </c>
      <c r="M96" s="31">
        <v>2012</v>
      </c>
      <c r="N96" s="33" t="str">
        <f>HYPERLINK("http://services.igi-global.com/resolvedoi/resolve.aspx?doi=10.4018/978-1-46660-014-0")</f>
        <v>http://services.igi-global.com/resolvedoi/resolve.aspx?doi=10.4018/978-1-46660-014-0</v>
      </c>
    </row>
    <row r="97" spans="1:14">
      <c r="A97" s="31">
        <v>96</v>
      </c>
      <c r="B97" s="31" t="s">
        <v>571</v>
      </c>
      <c r="C97" s="31" t="s">
        <v>554</v>
      </c>
      <c r="D97" s="32" t="s">
        <v>2939</v>
      </c>
      <c r="E97" s="32" t="s">
        <v>3156</v>
      </c>
      <c r="F97" s="31" t="s">
        <v>3157</v>
      </c>
      <c r="G97" s="31" t="s">
        <v>3158</v>
      </c>
      <c r="H97" s="31" t="s">
        <v>3159</v>
      </c>
      <c r="I97" s="31">
        <v>1</v>
      </c>
      <c r="J97" s="31">
        <v>1</v>
      </c>
      <c r="K97" s="31" t="s">
        <v>3160</v>
      </c>
      <c r="L97" s="31" t="s">
        <v>569</v>
      </c>
      <c r="M97" s="31">
        <v>2013</v>
      </c>
      <c r="N97" s="33" t="str">
        <f>HYPERLINK("http://services.igi-global.com/resolvedoi/resolve.aspx?doi=10.4018/978-1-46661-906-7")</f>
        <v>http://services.igi-global.com/resolvedoi/resolve.aspx?doi=10.4018/978-1-46661-906-7</v>
      </c>
    </row>
    <row r="98" spans="1:14">
      <c r="A98" s="31">
        <v>97</v>
      </c>
      <c r="B98" s="31" t="s">
        <v>571</v>
      </c>
      <c r="C98" s="31" t="s">
        <v>554</v>
      </c>
      <c r="D98" s="32">
        <v>371.10199999999998</v>
      </c>
      <c r="E98" s="32" t="s">
        <v>3211</v>
      </c>
      <c r="F98" s="31" t="s">
        <v>3212</v>
      </c>
      <c r="G98" s="31" t="s">
        <v>3213</v>
      </c>
      <c r="H98" s="31" t="s">
        <v>3214</v>
      </c>
      <c r="I98" s="31">
        <v>1</v>
      </c>
      <c r="J98" s="31">
        <v>1</v>
      </c>
      <c r="K98" s="31" t="s">
        <v>2218</v>
      </c>
      <c r="L98" s="31" t="s">
        <v>569</v>
      </c>
      <c r="M98" s="31">
        <v>2013</v>
      </c>
      <c r="N98" s="33" t="str">
        <f>HYPERLINK("http://services.igi-global.com/resolvedoi/resolve.aspx?doi=10.4018/978-1-46661-963-0")</f>
        <v>http://services.igi-global.com/resolvedoi/resolve.aspx?doi=10.4018/978-1-46661-963-0</v>
      </c>
    </row>
    <row r="99" spans="1:14">
      <c r="A99" s="31">
        <v>98</v>
      </c>
      <c r="B99" s="31" t="s">
        <v>571</v>
      </c>
      <c r="C99" s="31" t="s">
        <v>554</v>
      </c>
      <c r="D99" s="32" t="s">
        <v>2838</v>
      </c>
      <c r="E99" s="32" t="s">
        <v>2839</v>
      </c>
      <c r="F99" s="31" t="s">
        <v>2840</v>
      </c>
      <c r="G99" s="31" t="s">
        <v>2841</v>
      </c>
      <c r="H99" s="31" t="s">
        <v>2842</v>
      </c>
      <c r="I99" s="31">
        <v>1</v>
      </c>
      <c r="J99" s="31">
        <v>1</v>
      </c>
      <c r="K99" s="31" t="s">
        <v>2596</v>
      </c>
      <c r="L99" s="31" t="s">
        <v>569</v>
      </c>
      <c r="M99" s="31">
        <v>2013</v>
      </c>
      <c r="N99" s="33" t="str">
        <f>HYPERLINK("http://services.igi-global.com/resolvedoi/resolve.aspx?doi=10.4018/978-1-46662-621-8")</f>
        <v>http://services.igi-global.com/resolvedoi/resolve.aspx?doi=10.4018/978-1-46662-621-8</v>
      </c>
    </row>
    <row r="100" spans="1:14">
      <c r="A100" s="31">
        <v>99</v>
      </c>
      <c r="B100" s="31" t="s">
        <v>571</v>
      </c>
      <c r="C100" s="31" t="s">
        <v>554</v>
      </c>
      <c r="D100" s="32" t="s">
        <v>2896</v>
      </c>
      <c r="E100" s="32" t="s">
        <v>2897</v>
      </c>
      <c r="F100" s="31" t="s">
        <v>2898</v>
      </c>
      <c r="G100" s="31" t="s">
        <v>2899</v>
      </c>
      <c r="H100" s="31" t="s">
        <v>2900</v>
      </c>
      <c r="I100" s="31">
        <v>1</v>
      </c>
      <c r="J100" s="31">
        <v>1</v>
      </c>
      <c r="K100" s="31" t="s">
        <v>2901</v>
      </c>
      <c r="L100" s="31" t="s">
        <v>569</v>
      </c>
      <c r="M100" s="31">
        <v>2013</v>
      </c>
      <c r="N100" s="33" t="str">
        <f>HYPERLINK("http://services.igi-global.com/resolvedoi/resolve.aspx?doi=10.4018/978-1-46663-661-3")</f>
        <v>http://services.igi-global.com/resolvedoi/resolve.aspx?doi=10.4018/978-1-46663-661-3</v>
      </c>
    </row>
    <row r="101" spans="1:14">
      <c r="A101" s="31">
        <v>100</v>
      </c>
      <c r="B101" s="31" t="s">
        <v>571</v>
      </c>
      <c r="C101" s="31" t="s">
        <v>554</v>
      </c>
      <c r="D101" s="32">
        <v>371.33</v>
      </c>
      <c r="E101" s="32" t="s">
        <v>2986</v>
      </c>
      <c r="F101" s="31" t="s">
        <v>2987</v>
      </c>
      <c r="G101" s="31" t="s">
        <v>2988</v>
      </c>
      <c r="H101" s="31" t="s">
        <v>2989</v>
      </c>
      <c r="I101" s="31">
        <v>3</v>
      </c>
      <c r="J101" s="31">
        <v>1</v>
      </c>
      <c r="K101" s="31" t="s">
        <v>555</v>
      </c>
      <c r="L101" s="31" t="s">
        <v>569</v>
      </c>
      <c r="M101" s="31">
        <v>2012</v>
      </c>
      <c r="N101" s="33" t="str">
        <f>HYPERLINK("http://services.igi-global.com/resolvedoi/resolve.aspx?doi=10.4018/978-1-61350-068-2")</f>
        <v>http://services.igi-global.com/resolvedoi/resolve.aspx?doi=10.4018/978-1-61350-068-2</v>
      </c>
    </row>
    <row r="102" spans="1:14">
      <c r="A102" s="31">
        <v>101</v>
      </c>
      <c r="B102" s="31" t="s">
        <v>571</v>
      </c>
      <c r="C102" s="31" t="s">
        <v>554</v>
      </c>
      <c r="D102" s="32" t="s">
        <v>1075</v>
      </c>
      <c r="E102" s="32" t="s">
        <v>3049</v>
      </c>
      <c r="F102" s="31" t="s">
        <v>3050</v>
      </c>
      <c r="G102" s="31" t="s">
        <v>3051</v>
      </c>
      <c r="H102" s="31" t="s">
        <v>3052</v>
      </c>
      <c r="I102" s="31">
        <v>1</v>
      </c>
      <c r="J102" s="31">
        <v>1</v>
      </c>
      <c r="K102" s="31" t="s">
        <v>3053</v>
      </c>
      <c r="L102" s="31" t="s">
        <v>569</v>
      </c>
      <c r="M102" s="31">
        <v>2012</v>
      </c>
      <c r="N102" s="33" t="str">
        <f>HYPERLINK("http://services.igi-global.com/resolvedoi/resolve.aspx?doi=10.4018/978-1-61350-080-4")</f>
        <v>http://services.igi-global.com/resolvedoi/resolve.aspx?doi=10.4018/978-1-61350-080-4</v>
      </c>
    </row>
    <row r="103" spans="1:14">
      <c r="A103" s="31">
        <v>102</v>
      </c>
      <c r="B103" s="31" t="s">
        <v>571</v>
      </c>
      <c r="C103" s="31" t="s">
        <v>554</v>
      </c>
      <c r="D103" s="32" t="s">
        <v>2866</v>
      </c>
      <c r="E103" s="32" t="s">
        <v>3078</v>
      </c>
      <c r="F103" s="31" t="s">
        <v>3079</v>
      </c>
      <c r="G103" s="31" t="s">
        <v>3080</v>
      </c>
      <c r="H103" s="31" t="s">
        <v>3081</v>
      </c>
      <c r="I103" s="31">
        <v>1</v>
      </c>
      <c r="J103" s="31">
        <v>1</v>
      </c>
      <c r="K103" s="31" t="s">
        <v>3082</v>
      </c>
      <c r="L103" s="31" t="s">
        <v>569</v>
      </c>
      <c r="M103" s="31">
        <v>2013</v>
      </c>
      <c r="N103" s="33" t="str">
        <f>HYPERLINK("http://services.igi-global.com/resolvedoi/resolve.aspx?doi=10.4018/978-1-46663-930-0")</f>
        <v>http://services.igi-global.com/resolvedoi/resolve.aspx?doi=10.4018/978-1-46663-930-0</v>
      </c>
    </row>
    <row r="104" spans="1:14">
      <c r="A104" s="31">
        <v>103</v>
      </c>
      <c r="B104" s="31" t="s">
        <v>571</v>
      </c>
      <c r="C104" s="31" t="s">
        <v>554</v>
      </c>
      <c r="D104" s="32" t="s">
        <v>2866</v>
      </c>
      <c r="E104" s="32" t="s">
        <v>3129</v>
      </c>
      <c r="F104" s="31" t="s">
        <v>3130</v>
      </c>
      <c r="G104" s="31" t="s">
        <v>3131</v>
      </c>
      <c r="H104" s="31" t="s">
        <v>3132</v>
      </c>
      <c r="I104" s="31">
        <v>1</v>
      </c>
      <c r="J104" s="31">
        <v>1</v>
      </c>
      <c r="K104" s="31" t="s">
        <v>3133</v>
      </c>
      <c r="L104" s="31" t="s">
        <v>569</v>
      </c>
      <c r="M104" s="31">
        <v>2013</v>
      </c>
      <c r="N104" s="33" t="str">
        <f>HYPERLINK("http://services.igi-global.com/resolvedoi/resolve.aspx?doi=10.4018/978-1-46662-970-7")</f>
        <v>http://services.igi-global.com/resolvedoi/resolve.aspx?doi=10.4018/978-1-46662-970-7</v>
      </c>
    </row>
    <row r="105" spans="1:14">
      <c r="A105" s="31">
        <v>104</v>
      </c>
      <c r="B105" s="31" t="s">
        <v>571</v>
      </c>
      <c r="C105" s="31" t="s">
        <v>554</v>
      </c>
      <c r="D105" s="32" t="s">
        <v>2875</v>
      </c>
      <c r="E105" s="32" t="s">
        <v>2876</v>
      </c>
      <c r="F105" s="31" t="s">
        <v>2877</v>
      </c>
      <c r="G105" s="31" t="s">
        <v>2878</v>
      </c>
      <c r="H105" s="31" t="s">
        <v>2879</v>
      </c>
      <c r="I105" s="31">
        <v>1</v>
      </c>
      <c r="J105" s="31">
        <v>1</v>
      </c>
      <c r="K105" s="31" t="s">
        <v>2880</v>
      </c>
      <c r="L105" s="31" t="s">
        <v>569</v>
      </c>
      <c r="M105" s="31">
        <v>2013</v>
      </c>
      <c r="N105" s="33" t="str">
        <f>HYPERLINK("http://services.igi-global.com/resolvedoi/resolve.aspx?doi=10.4018/978-1-46662-673-7")</f>
        <v>http://services.igi-global.com/resolvedoi/resolve.aspx?doi=10.4018/978-1-46662-673-7</v>
      </c>
    </row>
    <row r="106" spans="1:14">
      <c r="A106" s="31">
        <v>105</v>
      </c>
      <c r="B106" s="31" t="s">
        <v>571</v>
      </c>
      <c r="C106" s="31" t="s">
        <v>554</v>
      </c>
      <c r="D106" s="32" t="s">
        <v>2924</v>
      </c>
      <c r="E106" s="32" t="s">
        <v>2925</v>
      </c>
      <c r="F106" s="31" t="s">
        <v>2926</v>
      </c>
      <c r="G106" s="31" t="s">
        <v>2927</v>
      </c>
      <c r="H106" s="31" t="s">
        <v>2928</v>
      </c>
      <c r="I106" s="31">
        <v>1</v>
      </c>
      <c r="J106" s="31">
        <v>1</v>
      </c>
      <c r="K106" s="31" t="s">
        <v>555</v>
      </c>
      <c r="L106" s="31" t="s">
        <v>569</v>
      </c>
      <c r="M106" s="31">
        <v>2011</v>
      </c>
      <c r="N106" s="33" t="str">
        <f>HYPERLINK("http://services.igi-global.com/resolvedoi/resolve.aspx?doi=10.4018/978-1-61520-747-3")</f>
        <v>http://services.igi-global.com/resolvedoi/resolve.aspx?doi=10.4018/978-1-61520-747-3</v>
      </c>
    </row>
    <row r="107" spans="1:14">
      <c r="A107" s="31">
        <v>106</v>
      </c>
      <c r="B107" s="31" t="s">
        <v>571</v>
      </c>
      <c r="C107" s="31" t="s">
        <v>554</v>
      </c>
      <c r="D107" s="32" t="s">
        <v>2816</v>
      </c>
      <c r="E107" s="32" t="s">
        <v>2817</v>
      </c>
      <c r="F107" s="31" t="s">
        <v>2818</v>
      </c>
      <c r="G107" s="31" t="s">
        <v>2819</v>
      </c>
      <c r="H107" s="31" t="s">
        <v>2820</v>
      </c>
      <c r="I107" s="31">
        <v>1</v>
      </c>
      <c r="J107" s="31">
        <v>1</v>
      </c>
      <c r="K107" s="31" t="s">
        <v>2821</v>
      </c>
      <c r="L107" s="31" t="s">
        <v>569</v>
      </c>
      <c r="M107" s="31">
        <v>2013</v>
      </c>
      <c r="N107" s="33" t="str">
        <f>HYPERLINK("http://services.igi-global.com/resolvedoi/resolve.aspx?doi=10.4018/978-1-46662-116-9")</f>
        <v>http://services.igi-global.com/resolvedoi/resolve.aspx?doi=10.4018/978-1-46662-116-9</v>
      </c>
    </row>
    <row r="108" spans="1:14">
      <c r="A108" s="31">
        <v>107</v>
      </c>
      <c r="B108" s="31" t="s">
        <v>571</v>
      </c>
      <c r="C108" s="31" t="s">
        <v>554</v>
      </c>
      <c r="D108" s="32">
        <v>371.33</v>
      </c>
      <c r="E108" s="32" t="s">
        <v>3182</v>
      </c>
      <c r="F108" s="31" t="s">
        <v>3183</v>
      </c>
      <c r="G108" s="31" t="s">
        <v>3184</v>
      </c>
      <c r="H108" s="31" t="s">
        <v>3185</v>
      </c>
      <c r="I108" s="31">
        <v>1</v>
      </c>
      <c r="J108" s="31">
        <v>1</v>
      </c>
      <c r="K108" s="31" t="s">
        <v>3186</v>
      </c>
      <c r="L108" s="31" t="s">
        <v>569</v>
      </c>
      <c r="M108" s="31">
        <v>2013</v>
      </c>
      <c r="N108" s="33" t="str">
        <f>HYPERLINK("http://services.igi-global.com/resolvedoi/resolve.aspx?doi=10.4018/978-1-46662-530-3")</f>
        <v>http://services.igi-global.com/resolvedoi/resolve.aspx?doi=10.4018/978-1-46662-530-3</v>
      </c>
    </row>
    <row r="109" spans="1:14">
      <c r="A109" s="31">
        <v>108</v>
      </c>
      <c r="B109" s="31" t="s">
        <v>571</v>
      </c>
      <c r="C109" s="31" t="s">
        <v>554</v>
      </c>
      <c r="D109" s="32" t="s">
        <v>2955</v>
      </c>
      <c r="E109" s="32" t="s">
        <v>2956</v>
      </c>
      <c r="F109" s="31" t="s">
        <v>2957</v>
      </c>
      <c r="G109" s="31" t="s">
        <v>2958</v>
      </c>
      <c r="H109" s="31" t="s">
        <v>2959</v>
      </c>
      <c r="I109" s="31">
        <v>1</v>
      </c>
      <c r="J109" s="31">
        <v>1</v>
      </c>
      <c r="K109" s="31" t="s">
        <v>2960</v>
      </c>
      <c r="L109" s="31" t="s">
        <v>569</v>
      </c>
      <c r="M109" s="31">
        <v>2012</v>
      </c>
      <c r="N109" s="33" t="str">
        <f>HYPERLINK("http://services.igi-global.com/resolvedoi/resolve.aspx?doi=10.4018/978-1-61350-495-6")</f>
        <v>http://services.igi-global.com/resolvedoi/resolve.aspx?doi=10.4018/978-1-61350-495-6</v>
      </c>
    </row>
    <row r="110" spans="1:14">
      <c r="A110" s="31">
        <v>109</v>
      </c>
      <c r="B110" s="31" t="s">
        <v>571</v>
      </c>
      <c r="C110" s="31" t="s">
        <v>554</v>
      </c>
      <c r="D110" s="32" t="s">
        <v>2827</v>
      </c>
      <c r="E110" s="32" t="s">
        <v>2828</v>
      </c>
      <c r="F110" s="31" t="s">
        <v>2829</v>
      </c>
      <c r="G110" s="31" t="s">
        <v>2830</v>
      </c>
      <c r="H110" s="31" t="s">
        <v>2831</v>
      </c>
      <c r="I110" s="31">
        <v>1</v>
      </c>
      <c r="J110" s="31">
        <v>1</v>
      </c>
      <c r="K110" s="31" t="s">
        <v>2832</v>
      </c>
      <c r="L110" s="31" t="s">
        <v>569</v>
      </c>
      <c r="M110" s="31">
        <v>2012</v>
      </c>
      <c r="N110" s="33" t="str">
        <f>HYPERLINK("http://services.igi-global.com/resolvedoi/resolve.aspx?doi=10.4018/978-1-46660-939-6")</f>
        <v>http://services.igi-global.com/resolvedoi/resolve.aspx?doi=10.4018/978-1-46660-939-6</v>
      </c>
    </row>
    <row r="111" spans="1:14">
      <c r="A111" s="31">
        <v>110</v>
      </c>
      <c r="B111" s="31" t="s">
        <v>571</v>
      </c>
      <c r="C111" s="31" t="s">
        <v>554</v>
      </c>
      <c r="D111" s="32" t="s">
        <v>3172</v>
      </c>
      <c r="E111" s="32" t="s">
        <v>3173</v>
      </c>
      <c r="F111" s="31" t="s">
        <v>3174</v>
      </c>
      <c r="G111" s="31" t="s">
        <v>3175</v>
      </c>
      <c r="H111" s="31" t="s">
        <v>3176</v>
      </c>
      <c r="I111" s="31">
        <v>1</v>
      </c>
      <c r="J111" s="31">
        <v>1</v>
      </c>
      <c r="K111" s="31" t="s">
        <v>555</v>
      </c>
      <c r="L111" s="31" t="s">
        <v>569</v>
      </c>
      <c r="M111" s="31">
        <v>2013</v>
      </c>
      <c r="N111" s="33" t="str">
        <f>HYPERLINK("http://services.igi-global.com/resolvedoi/resolve.aspx?doi=10.4018/978-1-46662-062-9")</f>
        <v>http://services.igi-global.com/resolvedoi/resolve.aspx?doi=10.4018/978-1-46662-062-9</v>
      </c>
    </row>
    <row r="112" spans="1:14">
      <c r="A112" s="31">
        <v>111</v>
      </c>
      <c r="B112" s="31" t="s">
        <v>571</v>
      </c>
      <c r="C112" s="31" t="s">
        <v>554</v>
      </c>
      <c r="D112" s="32">
        <v>371.35</v>
      </c>
      <c r="E112" s="32" t="s">
        <v>2919</v>
      </c>
      <c r="F112" s="31" t="s">
        <v>2920</v>
      </c>
      <c r="G112" s="31" t="s">
        <v>2921</v>
      </c>
      <c r="H112" s="31" t="s">
        <v>2922</v>
      </c>
      <c r="I112" s="31">
        <v>1</v>
      </c>
      <c r="J112" s="31">
        <v>1</v>
      </c>
      <c r="K112" s="31" t="s">
        <v>2923</v>
      </c>
      <c r="L112" s="31" t="s">
        <v>569</v>
      </c>
      <c r="M112" s="31">
        <v>2013</v>
      </c>
      <c r="N112" s="33" t="str">
        <f>HYPERLINK("http://services.igi-global.com/resolvedoi/resolve.aspx?doi=10.4018/978-1-46662-949-3")</f>
        <v>http://services.igi-global.com/resolvedoi/resolve.aspx?doi=10.4018/978-1-46662-949-3</v>
      </c>
    </row>
    <row r="113" spans="1:14">
      <c r="A113" s="31">
        <v>112</v>
      </c>
      <c r="B113" s="31" t="s">
        <v>571</v>
      </c>
      <c r="C113" s="31" t="s">
        <v>554</v>
      </c>
      <c r="D113" s="32">
        <v>371.35</v>
      </c>
      <c r="E113" s="32" t="s">
        <v>3021</v>
      </c>
      <c r="F113" s="31" t="s">
        <v>3022</v>
      </c>
      <c r="G113" s="31" t="s">
        <v>3023</v>
      </c>
      <c r="H113" s="31" t="s">
        <v>3024</v>
      </c>
      <c r="I113" s="31">
        <v>1</v>
      </c>
      <c r="J113" s="31">
        <v>1</v>
      </c>
      <c r="K113" s="31" t="s">
        <v>3025</v>
      </c>
      <c r="L113" s="31" t="s">
        <v>569</v>
      </c>
      <c r="M113" s="31">
        <v>2013</v>
      </c>
      <c r="N113" s="33" t="str">
        <f>HYPERLINK("http://services.igi-global.com/resolvedoi/resolve.aspx?doi=10.4018/978-1-46663-978-2")</f>
        <v>http://services.igi-global.com/resolvedoi/resolve.aspx?doi=10.4018/978-1-46663-978-2</v>
      </c>
    </row>
    <row r="114" spans="1:14">
      <c r="A114" s="31">
        <v>113</v>
      </c>
      <c r="B114" s="31" t="s">
        <v>571</v>
      </c>
      <c r="C114" s="31" t="s">
        <v>554</v>
      </c>
      <c r="D114" s="32">
        <v>371.19</v>
      </c>
      <c r="E114" s="32" t="s">
        <v>3087</v>
      </c>
      <c r="F114" s="31" t="s">
        <v>3088</v>
      </c>
      <c r="G114" s="31" t="s">
        <v>3089</v>
      </c>
      <c r="H114" s="31" t="s">
        <v>3090</v>
      </c>
      <c r="I114" s="31">
        <v>1</v>
      </c>
      <c r="J114" s="31">
        <v>1</v>
      </c>
      <c r="K114" s="31" t="s">
        <v>3091</v>
      </c>
      <c r="L114" s="31" t="s">
        <v>569</v>
      </c>
      <c r="M114" s="31">
        <v>2012</v>
      </c>
      <c r="N114" s="33" t="str">
        <f>HYPERLINK("http://services.igi-global.com/resolvedoi/resolve.aspx?doi=10.4018/978-1-61350-071-2")</f>
        <v>http://services.igi-global.com/resolvedoi/resolve.aspx?doi=10.4018/978-1-61350-071-2</v>
      </c>
    </row>
    <row r="115" spans="1:14">
      <c r="A115" s="31">
        <v>114</v>
      </c>
      <c r="B115" s="31" t="s">
        <v>571</v>
      </c>
      <c r="C115" s="31" t="s">
        <v>554</v>
      </c>
      <c r="D115" s="32" t="s">
        <v>3150</v>
      </c>
      <c r="E115" s="32" t="s">
        <v>3151</v>
      </c>
      <c r="F115" s="31" t="s">
        <v>3152</v>
      </c>
      <c r="G115" s="31" t="s">
        <v>3153</v>
      </c>
      <c r="H115" s="31" t="s">
        <v>3154</v>
      </c>
      <c r="I115" s="31">
        <v>1</v>
      </c>
      <c r="J115" s="31">
        <v>1</v>
      </c>
      <c r="K115" s="31" t="s">
        <v>3155</v>
      </c>
      <c r="L115" s="31" t="s">
        <v>569</v>
      </c>
      <c r="M115" s="31">
        <v>2013</v>
      </c>
      <c r="N115" s="33" t="str">
        <f>HYPERLINK("http://services.igi-global.com/resolvedoi/resolve.aspx?doi=10.4018/978-1-46662-032-2")</f>
        <v>http://services.igi-global.com/resolvedoi/resolve.aspx?doi=10.4018/978-1-46662-032-2</v>
      </c>
    </row>
    <row r="116" spans="1:14">
      <c r="A116" s="31">
        <v>115</v>
      </c>
      <c r="B116" s="31" t="s">
        <v>571</v>
      </c>
      <c r="C116" s="31" t="s">
        <v>554</v>
      </c>
      <c r="D116" s="32" t="s">
        <v>3200</v>
      </c>
      <c r="E116" s="32" t="s">
        <v>3201</v>
      </c>
      <c r="F116" s="31" t="s">
        <v>3202</v>
      </c>
      <c r="G116" s="31" t="s">
        <v>3203</v>
      </c>
      <c r="H116" s="31" t="s">
        <v>3204</v>
      </c>
      <c r="I116" s="31">
        <v>1</v>
      </c>
      <c r="J116" s="31">
        <v>1</v>
      </c>
      <c r="K116" s="31" t="s">
        <v>3205</v>
      </c>
      <c r="L116" s="31" t="s">
        <v>569</v>
      </c>
      <c r="M116" s="31">
        <v>2013</v>
      </c>
      <c r="N116" s="33" t="str">
        <f>HYPERLINK("http://services.igi-global.com/resolvedoi/resolve.aspx?doi=10.4018/978-1-46662-973-8")</f>
        <v>http://services.igi-global.com/resolvedoi/resolve.aspx?doi=10.4018/978-1-46662-973-8</v>
      </c>
    </row>
    <row r="117" spans="1:14">
      <c r="A117" s="31">
        <v>116</v>
      </c>
      <c r="B117" s="31" t="s">
        <v>571</v>
      </c>
      <c r="C117" s="31" t="s">
        <v>554</v>
      </c>
      <c r="D117" s="32" t="s">
        <v>2913</v>
      </c>
      <c r="E117" s="32" t="s">
        <v>2914</v>
      </c>
      <c r="F117" s="31" t="s">
        <v>2915</v>
      </c>
      <c r="G117" s="31" t="s">
        <v>2916</v>
      </c>
      <c r="H117" s="31" t="s">
        <v>2917</v>
      </c>
      <c r="I117" s="31">
        <v>1</v>
      </c>
      <c r="J117" s="31">
        <v>1</v>
      </c>
      <c r="K117" s="31" t="s">
        <v>2918</v>
      </c>
      <c r="L117" s="31" t="s">
        <v>569</v>
      </c>
      <c r="M117" s="31">
        <v>2013</v>
      </c>
      <c r="N117" s="33" t="str">
        <f>HYPERLINK("http://services.igi-global.com/resolvedoi/resolve.aspx?doi=10.4018/978-1-46662-821-2")</f>
        <v>http://services.igi-global.com/resolvedoi/resolve.aspx?doi=10.4018/978-1-46662-821-2</v>
      </c>
    </row>
    <row r="118" spans="1:14">
      <c r="A118" s="31">
        <v>117</v>
      </c>
      <c r="B118" s="31" t="s">
        <v>571</v>
      </c>
      <c r="C118" s="31" t="s">
        <v>554</v>
      </c>
      <c r="D118" s="32" t="s">
        <v>2913</v>
      </c>
      <c r="E118" s="32" t="s">
        <v>3008</v>
      </c>
      <c r="F118" s="31" t="s">
        <v>3009</v>
      </c>
      <c r="G118" s="31" t="s">
        <v>3010</v>
      </c>
      <c r="H118" s="31" t="s">
        <v>3011</v>
      </c>
      <c r="I118" s="31">
        <v>1</v>
      </c>
      <c r="J118" s="31">
        <v>1</v>
      </c>
      <c r="K118" s="31" t="s">
        <v>2918</v>
      </c>
      <c r="L118" s="31" t="s">
        <v>569</v>
      </c>
      <c r="M118" s="31">
        <v>2013</v>
      </c>
      <c r="N118" s="33" t="str">
        <f>HYPERLINK("http://services.igi-global.com/resolvedoi/resolve.aspx?doi=10.4018/978-1-46661-855-8")</f>
        <v>http://services.igi-global.com/resolvedoi/resolve.aspx?doi=10.4018/978-1-46661-855-8</v>
      </c>
    </row>
    <row r="119" spans="1:14">
      <c r="A119" s="31">
        <v>118</v>
      </c>
      <c r="B119" s="31" t="s">
        <v>571</v>
      </c>
      <c r="C119" s="31" t="s">
        <v>554</v>
      </c>
      <c r="D119" s="32" t="s">
        <v>495</v>
      </c>
      <c r="E119" s="32" t="s">
        <v>3073</v>
      </c>
      <c r="F119" s="31" t="s">
        <v>3074</v>
      </c>
      <c r="G119" s="31" t="s">
        <v>3075</v>
      </c>
      <c r="H119" s="31" t="s">
        <v>3076</v>
      </c>
      <c r="I119" s="31">
        <v>1</v>
      </c>
      <c r="J119" s="31">
        <v>1</v>
      </c>
      <c r="K119" s="31" t="s">
        <v>3077</v>
      </c>
      <c r="L119" s="31" t="s">
        <v>569</v>
      </c>
      <c r="M119" s="31">
        <v>2009</v>
      </c>
      <c r="N119" s="33" t="str">
        <f>HYPERLINK("http://services.igi-global.com/resolvedoi/resolve.aspx?doi=10.4018/978-1-60566-166-7")</f>
        <v>http://services.igi-global.com/resolvedoi/resolve.aspx?doi=10.4018/978-1-60566-166-7</v>
      </c>
    </row>
    <row r="120" spans="1:14">
      <c r="A120" s="31">
        <v>119</v>
      </c>
      <c r="B120" s="31" t="s">
        <v>571</v>
      </c>
      <c r="C120" s="31" t="s">
        <v>554</v>
      </c>
      <c r="D120" s="32">
        <v>507.1</v>
      </c>
      <c r="E120" s="32" t="s">
        <v>2822</v>
      </c>
      <c r="F120" s="31" t="s">
        <v>2823</v>
      </c>
      <c r="G120" s="31" t="s">
        <v>2824</v>
      </c>
      <c r="H120" s="31" t="s">
        <v>2825</v>
      </c>
      <c r="I120" s="31">
        <v>1</v>
      </c>
      <c r="J120" s="31">
        <v>1</v>
      </c>
      <c r="K120" s="31" t="s">
        <v>2826</v>
      </c>
      <c r="L120" s="31" t="s">
        <v>569</v>
      </c>
      <c r="M120" s="31">
        <v>2013</v>
      </c>
      <c r="N120" s="33" t="str">
        <f>HYPERLINK("http://services.igi-global.com/resolvedoi/resolve.aspx?doi=10.4018/978-1-46662-809-0")</f>
        <v>http://services.igi-global.com/resolvedoi/resolve.aspx?doi=10.4018/978-1-46662-809-0</v>
      </c>
    </row>
    <row r="121" spans="1:14">
      <c r="A121" s="31">
        <v>120</v>
      </c>
      <c r="B121" s="31" t="s">
        <v>571</v>
      </c>
      <c r="C121" s="31" t="s">
        <v>554</v>
      </c>
      <c r="D121" s="32" t="s">
        <v>993</v>
      </c>
      <c r="E121" s="32" t="s">
        <v>2881</v>
      </c>
      <c r="F121" s="31" t="s">
        <v>2882</v>
      </c>
      <c r="G121" s="31" t="s">
        <v>2883</v>
      </c>
      <c r="H121" s="31" t="s">
        <v>2884</v>
      </c>
      <c r="I121" s="31">
        <v>1</v>
      </c>
      <c r="J121" s="31">
        <v>1</v>
      </c>
      <c r="K121" s="31" t="s">
        <v>2885</v>
      </c>
      <c r="L121" s="31" t="s">
        <v>569</v>
      </c>
      <c r="M121" s="31">
        <v>2012</v>
      </c>
      <c r="N121" s="33" t="str">
        <f>HYPERLINK("http://services.igi-global.com/resolvedoi/resolve.aspx?doi=10.4018/978-1-46660-068-3")</f>
        <v>http://services.igi-global.com/resolvedoi/resolve.aspx?doi=10.4018/978-1-46660-068-3</v>
      </c>
    </row>
    <row r="122" spans="1:14">
      <c r="A122" s="31">
        <v>121</v>
      </c>
      <c r="B122" s="31" t="s">
        <v>571</v>
      </c>
      <c r="C122" s="31" t="s">
        <v>554</v>
      </c>
      <c r="D122" s="32" t="s">
        <v>2886</v>
      </c>
      <c r="E122" s="32" t="s">
        <v>2887</v>
      </c>
      <c r="F122" s="31" t="s">
        <v>2888</v>
      </c>
      <c r="G122" s="31" t="s">
        <v>2889</v>
      </c>
      <c r="H122" s="31" t="s">
        <v>2890</v>
      </c>
      <c r="I122" s="31">
        <v>1</v>
      </c>
      <c r="J122" s="31">
        <v>1</v>
      </c>
      <c r="K122" s="31" t="s">
        <v>2891</v>
      </c>
      <c r="L122" s="31" t="s">
        <v>569</v>
      </c>
      <c r="M122" s="31">
        <v>2013</v>
      </c>
      <c r="N122" s="33" t="str">
        <f>HYPERLINK("http://services.igi-global.com/resolvedoi/resolve.aspx?doi=10.4018/978-1-46662-214-2")</f>
        <v>http://services.igi-global.com/resolvedoi/resolve.aspx?doi=10.4018/978-1-46662-214-2</v>
      </c>
    </row>
    <row r="123" spans="1:14">
      <c r="A123" s="31">
        <v>122</v>
      </c>
      <c r="B123" s="31" t="s">
        <v>571</v>
      </c>
      <c r="C123" s="31" t="s">
        <v>554</v>
      </c>
      <c r="D123" s="32" t="s">
        <v>496</v>
      </c>
      <c r="E123" s="32" t="s">
        <v>3097</v>
      </c>
      <c r="F123" s="31" t="s">
        <v>3098</v>
      </c>
      <c r="G123" s="31" t="s">
        <v>3099</v>
      </c>
      <c r="H123" s="31" t="s">
        <v>3100</v>
      </c>
      <c r="I123" s="31">
        <v>1</v>
      </c>
      <c r="J123" s="31">
        <v>1</v>
      </c>
      <c r="K123" s="31" t="s">
        <v>3101</v>
      </c>
      <c r="L123" s="31" t="s">
        <v>569</v>
      </c>
      <c r="M123" s="31">
        <v>2010</v>
      </c>
      <c r="N123" s="33" t="str">
        <f>HYPERLINK("http://services.igi-global.com/resolvedoi/resolve.aspx?doi=10.4018/978-1-60566-703-4")</f>
        <v>http://services.igi-global.com/resolvedoi/resolve.aspx?doi=10.4018/978-1-60566-703-4</v>
      </c>
    </row>
    <row r="124" spans="1:14">
      <c r="A124" s="31">
        <v>123</v>
      </c>
      <c r="B124" s="31" t="s">
        <v>571</v>
      </c>
      <c r="C124" s="31" t="s">
        <v>554</v>
      </c>
      <c r="D124" s="32" t="s">
        <v>2907</v>
      </c>
      <c r="E124" s="32" t="s">
        <v>2908</v>
      </c>
      <c r="F124" s="31" t="s">
        <v>2909</v>
      </c>
      <c r="G124" s="31" t="s">
        <v>2910</v>
      </c>
      <c r="H124" s="31" t="s">
        <v>2911</v>
      </c>
      <c r="I124" s="31">
        <v>1</v>
      </c>
      <c r="J124" s="31">
        <v>1</v>
      </c>
      <c r="K124" s="31" t="s">
        <v>2912</v>
      </c>
      <c r="L124" s="31" t="s">
        <v>569</v>
      </c>
      <c r="M124" s="31">
        <v>2013</v>
      </c>
      <c r="N124" s="33" t="str">
        <f>HYPERLINK("http://services.igi-global.com/resolvedoi/resolve.aspx?doi=10.4018/978-1-46664-086-3")</f>
        <v>http://services.igi-global.com/resolvedoi/resolve.aspx?doi=10.4018/978-1-46664-086-3</v>
      </c>
    </row>
    <row r="125" spans="1:14">
      <c r="A125" s="31">
        <v>124</v>
      </c>
      <c r="B125" s="31" t="s">
        <v>571</v>
      </c>
      <c r="C125" s="31" t="s">
        <v>554</v>
      </c>
      <c r="D125" s="32" t="s">
        <v>2996</v>
      </c>
      <c r="E125" s="32" t="s">
        <v>2997</v>
      </c>
      <c r="F125" s="31" t="s">
        <v>2998</v>
      </c>
      <c r="G125" s="31" t="s">
        <v>2999</v>
      </c>
      <c r="H125" s="31" t="s">
        <v>3000</v>
      </c>
      <c r="I125" s="31">
        <v>1</v>
      </c>
      <c r="J125" s="31">
        <v>1</v>
      </c>
      <c r="K125" s="31" t="s">
        <v>3001</v>
      </c>
      <c r="L125" s="31" t="s">
        <v>569</v>
      </c>
      <c r="M125" s="31">
        <v>2013</v>
      </c>
      <c r="N125" s="33" t="str">
        <f>HYPERLINK("http://services.igi-global.com/resolvedoi/resolve.aspx?doi=10.4018/978-1-46664-050-4")</f>
        <v>http://services.igi-global.com/resolvedoi/resolve.aspx?doi=10.4018/978-1-46664-050-4</v>
      </c>
    </row>
    <row r="126" spans="1:14">
      <c r="A126" s="31">
        <v>125</v>
      </c>
      <c r="B126" s="31" t="s">
        <v>571</v>
      </c>
      <c r="C126" s="31" t="s">
        <v>554</v>
      </c>
      <c r="D126" s="32" t="s">
        <v>3161</v>
      </c>
      <c r="E126" s="32" t="s">
        <v>3162</v>
      </c>
      <c r="F126" s="31" t="s">
        <v>3163</v>
      </c>
      <c r="G126" s="31" t="s">
        <v>3164</v>
      </c>
      <c r="H126" s="31" t="s">
        <v>3165</v>
      </c>
      <c r="I126" s="31">
        <v>1</v>
      </c>
      <c r="J126" s="31">
        <v>1</v>
      </c>
      <c r="K126" s="31" t="s">
        <v>3166</v>
      </c>
      <c r="L126" s="31" t="s">
        <v>569</v>
      </c>
      <c r="M126" s="31">
        <v>2012</v>
      </c>
      <c r="N126" s="33" t="str">
        <f>HYPERLINK("http://services.igi-global.com/resolvedoi/resolve.aspx?doi=10.4018/978-1-60960-875-0")</f>
        <v>http://services.igi-global.com/resolvedoi/resolve.aspx?doi=10.4018/978-1-60960-875-0</v>
      </c>
    </row>
    <row r="127" spans="1:14">
      <c r="A127" s="31">
        <v>126</v>
      </c>
      <c r="B127" s="31" t="s">
        <v>571</v>
      </c>
      <c r="C127" s="31" t="s">
        <v>554</v>
      </c>
      <c r="D127" s="32" t="s">
        <v>507</v>
      </c>
      <c r="E127" s="32" t="s">
        <v>3012</v>
      </c>
      <c r="F127" s="31" t="s">
        <v>3013</v>
      </c>
      <c r="G127" s="31" t="s">
        <v>3014</v>
      </c>
      <c r="H127" s="31" t="s">
        <v>3015</v>
      </c>
      <c r="I127" s="31">
        <v>1</v>
      </c>
      <c r="J127" s="31">
        <v>1</v>
      </c>
      <c r="K127" s="31" t="s">
        <v>1565</v>
      </c>
      <c r="L127" s="31" t="s">
        <v>569</v>
      </c>
      <c r="M127" s="31">
        <v>2013</v>
      </c>
      <c r="N127" s="33" t="str">
        <f>HYPERLINK("http://services.igi-global.com/resolvedoi/resolve.aspx?doi=10.4018/978-1-46662-943-1")</f>
        <v>http://services.igi-global.com/resolvedoi/resolve.aspx?doi=10.4018/978-1-46662-943-1</v>
      </c>
    </row>
    <row r="128" spans="1:14">
      <c r="A128" s="31">
        <v>127</v>
      </c>
      <c r="B128" s="31" t="s">
        <v>571</v>
      </c>
      <c r="C128" s="31" t="s">
        <v>554</v>
      </c>
      <c r="D128" s="32" t="s">
        <v>3026</v>
      </c>
      <c r="E128" s="32" t="s">
        <v>3027</v>
      </c>
      <c r="F128" s="31" t="s">
        <v>3028</v>
      </c>
      <c r="G128" s="31" t="s">
        <v>3029</v>
      </c>
      <c r="H128" s="31" t="s">
        <v>3030</v>
      </c>
      <c r="I128" s="31">
        <v>1</v>
      </c>
      <c r="J128" s="31">
        <v>1</v>
      </c>
      <c r="K128" s="31" t="s">
        <v>3031</v>
      </c>
      <c r="L128" s="31" t="s">
        <v>569</v>
      </c>
      <c r="M128" s="31">
        <v>2010</v>
      </c>
      <c r="N128" s="33" t="str">
        <f>HYPERLINK("http://services.igi-global.com/resolvedoi/resolve.aspx?doi=10.4018/978-1-59904-992-2")</f>
        <v>http://services.igi-global.com/resolvedoi/resolve.aspx?doi=10.4018/978-1-59904-992-2</v>
      </c>
    </row>
    <row r="129" spans="1:14">
      <c r="A129" s="31">
        <v>128</v>
      </c>
      <c r="B129" s="31" t="s">
        <v>571</v>
      </c>
      <c r="C129" s="31" t="s">
        <v>554</v>
      </c>
      <c r="D129" s="32" t="s">
        <v>2350</v>
      </c>
      <c r="E129" s="32" t="s">
        <v>2950</v>
      </c>
      <c r="F129" s="31" t="s">
        <v>2951</v>
      </c>
      <c r="G129" s="31" t="s">
        <v>2952</v>
      </c>
      <c r="H129" s="31" t="s">
        <v>2953</v>
      </c>
      <c r="I129" s="31">
        <v>1</v>
      </c>
      <c r="J129" s="31">
        <v>1</v>
      </c>
      <c r="K129" s="31" t="s">
        <v>2954</v>
      </c>
      <c r="L129" s="31" t="s">
        <v>569</v>
      </c>
      <c r="M129" s="31">
        <v>2012</v>
      </c>
      <c r="N129" s="33" t="str">
        <f>HYPERLINK("http://services.igi-global.com/resolvedoi/resolve.aspx?doi=10.4018/978-1-46660-951-8")</f>
        <v>http://services.igi-global.com/resolvedoi/resolve.aspx?doi=10.4018/978-1-46660-951-8</v>
      </c>
    </row>
    <row r="130" spans="1:14">
      <c r="A130" s="31">
        <v>129</v>
      </c>
      <c r="B130" s="31" t="s">
        <v>571</v>
      </c>
      <c r="C130" s="31" t="s">
        <v>554</v>
      </c>
      <c r="D130" s="32">
        <v>602.85</v>
      </c>
      <c r="E130" s="32" t="s">
        <v>2902</v>
      </c>
      <c r="F130" s="31" t="s">
        <v>2903</v>
      </c>
      <c r="G130" s="31" t="s">
        <v>2904</v>
      </c>
      <c r="H130" s="31" t="s">
        <v>2905</v>
      </c>
      <c r="I130" s="31">
        <v>1</v>
      </c>
      <c r="J130" s="31">
        <v>1</v>
      </c>
      <c r="K130" s="31" t="s">
        <v>2906</v>
      </c>
      <c r="L130" s="31" t="s">
        <v>1233</v>
      </c>
      <c r="M130" s="31">
        <v>2013</v>
      </c>
      <c r="N130" s="33" t="str">
        <f>HYPERLINK("http://services.igi-global.com/resolvedoi/resolve.aspx?doi=10.4018/978-1-46661-999-9")</f>
        <v>http://services.igi-global.com/resolvedoi/resolve.aspx?doi=10.4018/978-1-46661-999-9</v>
      </c>
    </row>
    <row r="131" spans="1:14">
      <c r="A131" s="31">
        <v>130</v>
      </c>
      <c r="B131" s="31" t="s">
        <v>571</v>
      </c>
      <c r="C131" s="31" t="s">
        <v>554</v>
      </c>
      <c r="D131" s="32" t="s">
        <v>2843</v>
      </c>
      <c r="E131" s="32" t="s">
        <v>3062</v>
      </c>
      <c r="F131" s="31" t="s">
        <v>3063</v>
      </c>
      <c r="G131" s="31" t="s">
        <v>3064</v>
      </c>
      <c r="H131" s="31" t="s">
        <v>3065</v>
      </c>
      <c r="I131" s="31">
        <v>1</v>
      </c>
      <c r="J131" s="31">
        <v>1</v>
      </c>
      <c r="K131" s="31" t="s">
        <v>3066</v>
      </c>
      <c r="L131" s="31" t="s">
        <v>569</v>
      </c>
      <c r="M131" s="31">
        <v>2010</v>
      </c>
      <c r="N131" s="33" t="str">
        <f>HYPERLINK("http://services.igi-global.com/resolvedoi/resolve.aspx?doi=10.4018/978-1-60566-874-1")</f>
        <v>http://services.igi-global.com/resolvedoi/resolve.aspx?doi=10.4018/978-1-60566-874-1</v>
      </c>
    </row>
    <row r="132" spans="1:14">
      <c r="A132" s="31">
        <v>131</v>
      </c>
      <c r="B132" s="31" t="s">
        <v>571</v>
      </c>
      <c r="C132" s="31" t="s">
        <v>3224</v>
      </c>
      <c r="D132" s="32">
        <v>507.1</v>
      </c>
      <c r="E132" s="32" t="s">
        <v>3225</v>
      </c>
      <c r="F132" s="31" t="s">
        <v>3226</v>
      </c>
      <c r="G132" s="31" t="s">
        <v>3227</v>
      </c>
      <c r="H132" s="31" t="s">
        <v>3228</v>
      </c>
      <c r="I132" s="31">
        <v>1</v>
      </c>
      <c r="J132" s="31">
        <v>1</v>
      </c>
      <c r="K132" s="31" t="s">
        <v>3229</v>
      </c>
      <c r="L132" s="31" t="s">
        <v>569</v>
      </c>
      <c r="M132" s="31">
        <v>2012</v>
      </c>
      <c r="N132" s="33" t="str">
        <f>HYPERLINK("http://services.igi-global.com/resolvedoi/resolve.aspx?doi=10.4018/978-1-46661-809-1")</f>
        <v>http://services.igi-global.com/resolvedoi/resolve.aspx?doi=10.4018/978-1-46661-809-1</v>
      </c>
    </row>
    <row r="133" spans="1:14">
      <c r="A133" s="31">
        <v>132</v>
      </c>
      <c r="B133" s="31" t="s">
        <v>571</v>
      </c>
      <c r="C133" s="31" t="s">
        <v>1251</v>
      </c>
      <c r="D133" s="32">
        <v>330.02850000000001</v>
      </c>
      <c r="E133" s="32" t="s">
        <v>3276</v>
      </c>
      <c r="F133" s="31" t="s">
        <v>3277</v>
      </c>
      <c r="G133" s="31" t="s">
        <v>3278</v>
      </c>
      <c r="H133" s="31" t="s">
        <v>3279</v>
      </c>
      <c r="I133" s="31">
        <v>1</v>
      </c>
      <c r="J133" s="31">
        <v>1</v>
      </c>
      <c r="K133" s="31" t="s">
        <v>3280</v>
      </c>
      <c r="L133" s="31" t="s">
        <v>569</v>
      </c>
      <c r="M133" s="31">
        <v>2013</v>
      </c>
      <c r="N133" s="33" t="str">
        <f>HYPERLINK("http://services.igi-global.com/resolvedoi/resolve.aspx?doi=10.4018/978-1-46661-924-1")</f>
        <v>http://services.igi-global.com/resolvedoi/resolve.aspx?doi=10.4018/978-1-46661-924-1</v>
      </c>
    </row>
    <row r="134" spans="1:14">
      <c r="A134" s="31">
        <v>133</v>
      </c>
      <c r="B134" s="31" t="s">
        <v>571</v>
      </c>
      <c r="C134" s="31" t="s">
        <v>1251</v>
      </c>
      <c r="D134" s="32">
        <v>910.23500000000001</v>
      </c>
      <c r="E134" s="32" t="s">
        <v>3281</v>
      </c>
      <c r="F134" s="31" t="s">
        <v>3282</v>
      </c>
      <c r="G134" s="31" t="s">
        <v>3283</v>
      </c>
      <c r="H134" s="31" t="s">
        <v>3284</v>
      </c>
      <c r="I134" s="31">
        <v>4</v>
      </c>
      <c r="J134" s="31">
        <v>1</v>
      </c>
      <c r="K134" s="31" t="s">
        <v>3285</v>
      </c>
      <c r="L134" s="31" t="s">
        <v>569</v>
      </c>
      <c r="M134" s="31">
        <v>2013</v>
      </c>
      <c r="N134" s="33" t="str">
        <f>HYPERLINK("http://services.igi-global.com/resolvedoi/resolve.aspx?doi=10.4018/978-1-46662-038-4")</f>
        <v>http://services.igi-global.com/resolvedoi/resolve.aspx?doi=10.4018/978-1-46662-038-4</v>
      </c>
    </row>
    <row r="135" spans="1:14">
      <c r="A135" s="31">
        <v>134</v>
      </c>
      <c r="B135" s="31" t="s">
        <v>571</v>
      </c>
      <c r="C135" s="31" t="s">
        <v>1251</v>
      </c>
      <c r="D135" s="32" t="s">
        <v>2303</v>
      </c>
      <c r="E135" s="32" t="s">
        <v>3244</v>
      </c>
      <c r="F135" s="31" t="s">
        <v>3245</v>
      </c>
      <c r="G135" s="31" t="s">
        <v>3246</v>
      </c>
      <c r="H135" s="31" t="s">
        <v>3247</v>
      </c>
      <c r="I135" s="31">
        <v>1</v>
      </c>
      <c r="J135" s="31">
        <v>1</v>
      </c>
      <c r="K135" s="31" t="s">
        <v>3248</v>
      </c>
      <c r="L135" s="31" t="s">
        <v>569</v>
      </c>
      <c r="M135" s="31">
        <v>2013</v>
      </c>
      <c r="N135" s="33" t="str">
        <f>HYPERLINK("http://services.igi-global.com/resolvedoi/resolve.aspx?doi=10.4018/978-1-46662-842-7")</f>
        <v>http://services.igi-global.com/resolvedoi/resolve.aspx?doi=10.4018/978-1-46662-842-7</v>
      </c>
    </row>
    <row r="136" spans="1:14">
      <c r="A136" s="31">
        <v>135</v>
      </c>
      <c r="B136" s="31" t="s">
        <v>571</v>
      </c>
      <c r="C136" s="31" t="s">
        <v>1251</v>
      </c>
      <c r="D136" s="32" t="s">
        <v>3291</v>
      </c>
      <c r="E136" s="32" t="s">
        <v>3292</v>
      </c>
      <c r="F136" s="31" t="s">
        <v>3293</v>
      </c>
      <c r="G136" s="31" t="s">
        <v>3294</v>
      </c>
      <c r="H136" s="31" t="s">
        <v>3295</v>
      </c>
      <c r="I136" s="31">
        <v>1</v>
      </c>
      <c r="J136" s="31">
        <v>1</v>
      </c>
      <c r="K136" s="31" t="s">
        <v>943</v>
      </c>
      <c r="L136" s="31" t="s">
        <v>569</v>
      </c>
      <c r="M136" s="31">
        <v>2013</v>
      </c>
      <c r="N136" s="33" t="str">
        <f>HYPERLINK("http://services.igi-global.com/resolvedoi/resolve.aspx?doi=10.4018/978-1-46661-972-2")</f>
        <v>http://services.igi-global.com/resolvedoi/resolve.aspx?doi=10.4018/978-1-46661-972-2</v>
      </c>
    </row>
    <row r="137" spans="1:14">
      <c r="A137" s="31">
        <v>136</v>
      </c>
      <c r="B137" s="31" t="s">
        <v>571</v>
      </c>
      <c r="C137" s="31" t="s">
        <v>1251</v>
      </c>
      <c r="D137" s="32" t="s">
        <v>2303</v>
      </c>
      <c r="E137" s="32" t="s">
        <v>3305</v>
      </c>
      <c r="F137" s="31" t="s">
        <v>3306</v>
      </c>
      <c r="G137" s="31" t="s">
        <v>3307</v>
      </c>
      <c r="H137" s="31" t="s">
        <v>3308</v>
      </c>
      <c r="I137" s="31">
        <v>1</v>
      </c>
      <c r="J137" s="31">
        <v>1</v>
      </c>
      <c r="K137" s="31" t="s">
        <v>3309</v>
      </c>
      <c r="L137" s="31" t="s">
        <v>569</v>
      </c>
      <c r="M137" s="31">
        <v>2013</v>
      </c>
      <c r="N137" s="33" t="str">
        <f>HYPERLINK("http://services.igi-global.com/resolvedoi/resolve.aspx?doi=10.4018/978-1-46664-098-6")</f>
        <v>http://services.igi-global.com/resolvedoi/resolve.aspx?doi=10.4018/978-1-46664-098-6</v>
      </c>
    </row>
    <row r="138" spans="1:14">
      <c r="A138" s="31">
        <v>137</v>
      </c>
      <c r="B138" s="31" t="s">
        <v>571</v>
      </c>
      <c r="C138" s="31" t="s">
        <v>1251</v>
      </c>
      <c r="D138" s="32" t="s">
        <v>3310</v>
      </c>
      <c r="E138" s="32" t="s">
        <v>3311</v>
      </c>
      <c r="F138" s="31" t="s">
        <v>3312</v>
      </c>
      <c r="G138" s="31" t="s">
        <v>3313</v>
      </c>
      <c r="H138" s="31" t="s">
        <v>3314</v>
      </c>
      <c r="I138" s="31">
        <v>1</v>
      </c>
      <c r="J138" s="31">
        <v>1</v>
      </c>
      <c r="K138" s="31" t="s">
        <v>3315</v>
      </c>
      <c r="L138" s="31" t="s">
        <v>569</v>
      </c>
      <c r="M138" s="31">
        <v>2013</v>
      </c>
      <c r="N138" s="33" t="str">
        <f>HYPERLINK("http://services.igi-global.com/resolvedoi/resolve.aspx?doi=10.4018/978-1-46662-791-8")</f>
        <v>http://services.igi-global.com/resolvedoi/resolve.aspx?doi=10.4018/978-1-46662-791-8</v>
      </c>
    </row>
    <row r="139" spans="1:14">
      <c r="A139" s="31">
        <v>138</v>
      </c>
      <c r="B139" s="31" t="s">
        <v>571</v>
      </c>
      <c r="C139" s="31" t="s">
        <v>1251</v>
      </c>
      <c r="D139" s="32">
        <v>658.30079999999998</v>
      </c>
      <c r="E139" s="32" t="s">
        <v>3264</v>
      </c>
      <c r="F139" s="31" t="s">
        <v>3265</v>
      </c>
      <c r="G139" s="31" t="s">
        <v>3266</v>
      </c>
      <c r="H139" s="31" t="s">
        <v>3267</v>
      </c>
      <c r="I139" s="31">
        <v>1</v>
      </c>
      <c r="J139" s="31">
        <v>1</v>
      </c>
      <c r="K139" s="31" t="s">
        <v>161</v>
      </c>
      <c r="L139" s="31" t="s">
        <v>568</v>
      </c>
      <c r="M139" s="31">
        <v>2013</v>
      </c>
      <c r="N139" s="33" t="str">
        <f>HYPERLINK("http://services.igi-global.com/resolvedoi/resolve.aspx?doi=10.4018/978-1-46663-966-9")</f>
        <v>http://services.igi-global.com/resolvedoi/resolve.aspx?doi=10.4018/978-1-46663-966-9</v>
      </c>
    </row>
    <row r="140" spans="1:14">
      <c r="A140" s="31">
        <v>139</v>
      </c>
      <c r="B140" s="31" t="s">
        <v>571</v>
      </c>
      <c r="C140" s="31" t="s">
        <v>1251</v>
      </c>
      <c r="D140" s="32" t="s">
        <v>2113</v>
      </c>
      <c r="E140" s="32" t="s">
        <v>3286</v>
      </c>
      <c r="F140" s="31" t="s">
        <v>3287</v>
      </c>
      <c r="G140" s="31" t="s">
        <v>3288</v>
      </c>
      <c r="H140" s="31" t="s">
        <v>3289</v>
      </c>
      <c r="I140" s="31">
        <v>1</v>
      </c>
      <c r="J140" s="31">
        <v>1</v>
      </c>
      <c r="K140" s="31" t="s">
        <v>3290</v>
      </c>
      <c r="L140" s="31" t="s">
        <v>569</v>
      </c>
      <c r="M140" s="31">
        <v>2013</v>
      </c>
      <c r="N140" s="33" t="str">
        <f>HYPERLINK("http://services.igi-global.com/resolvedoi/resolve.aspx?doi=10.4018/978-1-46662-142-8")</f>
        <v>http://services.igi-global.com/resolvedoi/resolve.aspx?doi=10.4018/978-1-46662-142-8</v>
      </c>
    </row>
    <row r="141" spans="1:14">
      <c r="A141" s="31">
        <v>140</v>
      </c>
      <c r="B141" s="31" t="s">
        <v>571</v>
      </c>
      <c r="C141" s="31" t="s">
        <v>1251</v>
      </c>
      <c r="D141" s="32">
        <v>363.60284999999999</v>
      </c>
      <c r="E141" s="32" t="s">
        <v>3255</v>
      </c>
      <c r="F141" s="31" t="s">
        <v>3256</v>
      </c>
      <c r="G141" s="31" t="s">
        <v>3257</v>
      </c>
      <c r="H141" s="31" t="s">
        <v>3258</v>
      </c>
      <c r="I141" s="31">
        <v>1</v>
      </c>
      <c r="J141" s="31">
        <v>1</v>
      </c>
      <c r="K141" s="31" t="s">
        <v>3259</v>
      </c>
      <c r="L141" s="31" t="s">
        <v>569</v>
      </c>
      <c r="M141" s="31">
        <v>2012</v>
      </c>
      <c r="N141" s="33" t="str">
        <f>HYPERLINK("http://services.igi-global.com/resolvedoi/resolve.aspx?doi=10.4018/978-1-61350-174-0")</f>
        <v>http://services.igi-global.com/resolvedoi/resolve.aspx?doi=10.4018/978-1-61350-174-0</v>
      </c>
    </row>
    <row r="142" spans="1:14">
      <c r="A142" s="31">
        <v>141</v>
      </c>
      <c r="B142" s="31" t="s">
        <v>571</v>
      </c>
      <c r="C142" s="31" t="s">
        <v>1251</v>
      </c>
      <c r="D142" s="32" t="s">
        <v>3235</v>
      </c>
      <c r="E142" s="32" t="s">
        <v>3236</v>
      </c>
      <c r="F142" s="31" t="s">
        <v>3237</v>
      </c>
      <c r="G142" s="31" t="s">
        <v>3238</v>
      </c>
      <c r="H142" s="31" t="s">
        <v>3239</v>
      </c>
      <c r="I142" s="31">
        <v>1</v>
      </c>
      <c r="J142" s="31">
        <v>1</v>
      </c>
      <c r="K142" s="31" t="s">
        <v>943</v>
      </c>
      <c r="L142" s="31" t="s">
        <v>568</v>
      </c>
      <c r="M142" s="31">
        <v>2013</v>
      </c>
      <c r="N142" s="33" t="str">
        <f>HYPERLINK("http://services.igi-global.com/resolvedoi/resolve.aspx?doi=10.4018/978-1-46662-652-2")</f>
        <v>http://services.igi-global.com/resolvedoi/resolve.aspx?doi=10.4018/978-1-46662-652-2</v>
      </c>
    </row>
    <row r="143" spans="1:14">
      <c r="A143" s="31">
        <v>142</v>
      </c>
      <c r="B143" s="31" t="s">
        <v>571</v>
      </c>
      <c r="C143" s="31" t="s">
        <v>1251</v>
      </c>
      <c r="D143" s="32" t="s">
        <v>2303</v>
      </c>
      <c r="E143" s="32" t="s">
        <v>3260</v>
      </c>
      <c r="F143" s="31" t="s">
        <v>3261</v>
      </c>
      <c r="G143" s="31" t="s">
        <v>3262</v>
      </c>
      <c r="H143" s="31" t="s">
        <v>3263</v>
      </c>
      <c r="I143" s="31">
        <v>1</v>
      </c>
      <c r="J143" s="31">
        <v>1</v>
      </c>
      <c r="K143" s="31" t="s">
        <v>1403</v>
      </c>
      <c r="L143" s="31" t="s">
        <v>569</v>
      </c>
      <c r="M143" s="31">
        <v>2013</v>
      </c>
      <c r="N143" s="33" t="str">
        <f>HYPERLINK("http://services.igi-global.com/resolvedoi/resolve.aspx?doi=10.4018/978-1-46663-613-2")</f>
        <v>http://services.igi-global.com/resolvedoi/resolve.aspx?doi=10.4018/978-1-46663-613-2</v>
      </c>
    </row>
    <row r="144" spans="1:14">
      <c r="A144" s="31">
        <v>143</v>
      </c>
      <c r="B144" s="31" t="s">
        <v>571</v>
      </c>
      <c r="C144" s="31" t="s">
        <v>1251</v>
      </c>
      <c r="D144" s="32" t="s">
        <v>3249</v>
      </c>
      <c r="E144" s="32" t="s">
        <v>3250</v>
      </c>
      <c r="F144" s="31" t="s">
        <v>3251</v>
      </c>
      <c r="G144" s="31" t="s">
        <v>3252</v>
      </c>
      <c r="H144" s="31" t="s">
        <v>3253</v>
      </c>
      <c r="I144" s="31">
        <v>1</v>
      </c>
      <c r="J144" s="31">
        <v>1</v>
      </c>
      <c r="K144" s="31" t="s">
        <v>3254</v>
      </c>
      <c r="L144" s="31" t="s">
        <v>569</v>
      </c>
      <c r="M144" s="31">
        <v>2012</v>
      </c>
      <c r="N144" s="33" t="str">
        <f>HYPERLINK("http://services.igi-global.com/resolvedoi/resolve.aspx?doi=10.4018/978-1-46660-318-9")</f>
        <v>http://services.igi-global.com/resolvedoi/resolve.aspx?doi=10.4018/978-1-46660-318-9</v>
      </c>
    </row>
    <row r="145" spans="1:14">
      <c r="A145" s="31">
        <v>144</v>
      </c>
      <c r="B145" s="31" t="s">
        <v>571</v>
      </c>
      <c r="C145" s="31" t="s">
        <v>1251</v>
      </c>
      <c r="D145" s="32" t="s">
        <v>3249</v>
      </c>
      <c r="E145" s="32" t="s">
        <v>3250</v>
      </c>
      <c r="F145" s="31" t="s">
        <v>3268</v>
      </c>
      <c r="G145" s="31" t="s">
        <v>3269</v>
      </c>
      <c r="H145" s="31" t="s">
        <v>3270</v>
      </c>
      <c r="I145" s="31">
        <v>1</v>
      </c>
      <c r="J145" s="31">
        <v>1</v>
      </c>
      <c r="K145" s="31" t="s">
        <v>207</v>
      </c>
      <c r="L145" s="31" t="s">
        <v>569</v>
      </c>
      <c r="M145" s="31">
        <v>2012</v>
      </c>
      <c r="N145" s="33" t="str">
        <f>HYPERLINK("http://services.igi-global.com/resolvedoi/resolve.aspx?doi=10.4018/978-1-61350-083-5")</f>
        <v>http://services.igi-global.com/resolvedoi/resolve.aspx?doi=10.4018/978-1-61350-083-5</v>
      </c>
    </row>
    <row r="146" spans="1:14">
      <c r="A146" s="31">
        <v>145</v>
      </c>
      <c r="B146" s="31" t="s">
        <v>571</v>
      </c>
      <c r="C146" s="31" t="s">
        <v>1251</v>
      </c>
      <c r="D146" s="32" t="s">
        <v>1759</v>
      </c>
      <c r="E146" s="32" t="s">
        <v>3300</v>
      </c>
      <c r="F146" s="31" t="s">
        <v>3301</v>
      </c>
      <c r="G146" s="31" t="s">
        <v>3302</v>
      </c>
      <c r="H146" s="31" t="s">
        <v>3303</v>
      </c>
      <c r="I146" s="31">
        <v>1</v>
      </c>
      <c r="J146" s="31">
        <v>1</v>
      </c>
      <c r="K146" s="31" t="s">
        <v>3304</v>
      </c>
      <c r="L146" s="31" t="s">
        <v>569</v>
      </c>
      <c r="M146" s="31">
        <v>2013</v>
      </c>
      <c r="N146" s="33" t="str">
        <f>HYPERLINK("http://services.igi-global.com/resolvedoi/resolve.aspx?doi=10.4018/978-1-46663-003-1")</f>
        <v>http://services.igi-global.com/resolvedoi/resolve.aspx?doi=10.4018/978-1-46663-003-1</v>
      </c>
    </row>
    <row r="147" spans="1:14">
      <c r="A147" s="31">
        <v>146</v>
      </c>
      <c r="B147" s="31" t="s">
        <v>571</v>
      </c>
      <c r="C147" s="31" t="s">
        <v>1251</v>
      </c>
      <c r="D147" s="32" t="s">
        <v>1759</v>
      </c>
      <c r="E147" s="32" t="s">
        <v>3240</v>
      </c>
      <c r="F147" s="31" t="s">
        <v>3241</v>
      </c>
      <c r="G147" s="31" t="s">
        <v>3242</v>
      </c>
      <c r="H147" s="31" t="s">
        <v>3243</v>
      </c>
      <c r="I147" s="31">
        <v>1</v>
      </c>
      <c r="J147" s="31">
        <v>1</v>
      </c>
      <c r="K147" s="31" t="s">
        <v>706</v>
      </c>
      <c r="L147" s="31" t="s">
        <v>569</v>
      </c>
      <c r="M147" s="31">
        <v>2013</v>
      </c>
      <c r="N147" s="33" t="str">
        <f>HYPERLINK("http://services.igi-global.com/resolvedoi/resolve.aspx?doi=10.4018/978-1-46662-071-1")</f>
        <v>http://services.igi-global.com/resolvedoi/resolve.aspx?doi=10.4018/978-1-46662-071-1</v>
      </c>
    </row>
    <row r="148" spans="1:14">
      <c r="A148" s="31">
        <v>147</v>
      </c>
      <c r="B148" s="31" t="s">
        <v>571</v>
      </c>
      <c r="C148" s="31" t="s">
        <v>1251</v>
      </c>
      <c r="D148" s="32" t="s">
        <v>1759</v>
      </c>
      <c r="E148" s="32" t="s">
        <v>3271</v>
      </c>
      <c r="F148" s="31" t="s">
        <v>3272</v>
      </c>
      <c r="G148" s="31" t="s">
        <v>3273</v>
      </c>
      <c r="H148" s="31" t="s">
        <v>3274</v>
      </c>
      <c r="I148" s="31">
        <v>1</v>
      </c>
      <c r="J148" s="31">
        <v>1</v>
      </c>
      <c r="K148" s="31" t="s">
        <v>3275</v>
      </c>
      <c r="L148" s="31" t="s">
        <v>569</v>
      </c>
      <c r="M148" s="31">
        <v>2013</v>
      </c>
      <c r="N148" s="33" t="str">
        <f>HYPERLINK("http://services.igi-global.com/resolvedoi/resolve.aspx?doi=10.4018/978-1-46662-458-0")</f>
        <v>http://services.igi-global.com/resolvedoi/resolve.aspx?doi=10.4018/978-1-46662-458-0</v>
      </c>
    </row>
    <row r="149" spans="1:14">
      <c r="A149" s="31">
        <v>148</v>
      </c>
      <c r="B149" s="31" t="s">
        <v>571</v>
      </c>
      <c r="C149" s="31" t="s">
        <v>1251</v>
      </c>
      <c r="D149" s="32" t="s">
        <v>1759</v>
      </c>
      <c r="E149" s="32" t="s">
        <v>3296</v>
      </c>
      <c r="F149" s="31" t="s">
        <v>3297</v>
      </c>
      <c r="G149" s="31" t="s">
        <v>3298</v>
      </c>
      <c r="H149" s="31" t="s">
        <v>3299</v>
      </c>
      <c r="I149" s="31">
        <v>1</v>
      </c>
      <c r="J149" s="31">
        <v>1</v>
      </c>
      <c r="K149" s="31" t="s">
        <v>2573</v>
      </c>
      <c r="L149" s="31" t="s">
        <v>569</v>
      </c>
      <c r="M149" s="31">
        <v>2013</v>
      </c>
      <c r="N149" s="33" t="str">
        <f>HYPERLINK("http://services.igi-global.com/resolvedoi/resolve.aspx?doi=10.4018/978-1-46663-640-8")</f>
        <v>http://services.igi-global.com/resolvedoi/resolve.aspx?doi=10.4018/978-1-46663-640-8</v>
      </c>
    </row>
    <row r="150" spans="1:14">
      <c r="A150" s="31">
        <v>149</v>
      </c>
      <c r="B150" s="31" t="s">
        <v>571</v>
      </c>
      <c r="C150" s="31" t="s">
        <v>1251</v>
      </c>
      <c r="D150" s="32" t="s">
        <v>3230</v>
      </c>
      <c r="E150" s="32" t="s">
        <v>3231</v>
      </c>
      <c r="F150" s="31" t="s">
        <v>3232</v>
      </c>
      <c r="G150" s="31" t="s">
        <v>3233</v>
      </c>
      <c r="H150" s="31" t="s">
        <v>3234</v>
      </c>
      <c r="I150" s="31">
        <v>1</v>
      </c>
      <c r="J150" s="31">
        <v>1</v>
      </c>
      <c r="K150" s="31" t="s">
        <v>2382</v>
      </c>
      <c r="L150" s="31" t="s">
        <v>569</v>
      </c>
      <c r="M150" s="31">
        <v>2013</v>
      </c>
      <c r="N150" s="33" t="str">
        <f>HYPERLINK("http://services.igi-global.com/resolvedoi/resolve.aspx?doi=10.4018/978-1-46662-053-7")</f>
        <v>http://services.igi-global.com/resolvedoi/resolve.aspx?doi=10.4018/978-1-46662-053-7</v>
      </c>
    </row>
    <row r="151" spans="1:14">
      <c r="A151" s="31">
        <v>150</v>
      </c>
      <c r="B151" s="31" t="s">
        <v>571</v>
      </c>
      <c r="C151" s="31" t="s">
        <v>560</v>
      </c>
      <c r="D151" s="32" t="s">
        <v>1837</v>
      </c>
      <c r="E151" s="32" t="s">
        <v>3343</v>
      </c>
      <c r="F151" s="31" t="s">
        <v>3344</v>
      </c>
      <c r="G151" s="31" t="s">
        <v>3345</v>
      </c>
      <c r="H151" s="31" t="s">
        <v>3346</v>
      </c>
      <c r="I151" s="31">
        <v>1</v>
      </c>
      <c r="J151" s="31">
        <v>1</v>
      </c>
      <c r="K151" s="31" t="s">
        <v>3347</v>
      </c>
      <c r="L151" s="31" t="s">
        <v>569</v>
      </c>
      <c r="M151" s="31">
        <v>2013</v>
      </c>
      <c r="N151" s="33" t="str">
        <f>HYPERLINK("http://services.igi-global.com/resolvedoi/resolve.aspx?doi=10.4018/978-1-46661-900-5")</f>
        <v>http://services.igi-global.com/resolvedoi/resolve.aspx?doi=10.4018/978-1-46661-900-5</v>
      </c>
    </row>
    <row r="152" spans="1:14">
      <c r="A152" s="31">
        <v>151</v>
      </c>
      <c r="B152" s="31" t="s">
        <v>571</v>
      </c>
      <c r="C152" s="31" t="s">
        <v>560</v>
      </c>
      <c r="D152" s="32" t="s">
        <v>3381</v>
      </c>
      <c r="E152" s="32" t="s">
        <v>3393</v>
      </c>
      <c r="F152" s="31" t="s">
        <v>3394</v>
      </c>
      <c r="G152" s="31" t="s">
        <v>3395</v>
      </c>
      <c r="H152" s="31" t="s">
        <v>3396</v>
      </c>
      <c r="I152" s="31">
        <v>1</v>
      </c>
      <c r="J152" s="31">
        <v>1</v>
      </c>
      <c r="K152" s="31" t="s">
        <v>3397</v>
      </c>
      <c r="L152" s="31" t="s">
        <v>569</v>
      </c>
      <c r="M152" s="31">
        <v>2008</v>
      </c>
      <c r="N152" s="33" t="str">
        <f>HYPERLINK("http://services.igi-global.com/resolvedoi/resolve.aspx?doi=10.4018/978-1-59904-807-9")</f>
        <v>http://services.igi-global.com/resolvedoi/resolve.aspx?doi=10.4018/978-1-59904-807-9</v>
      </c>
    </row>
    <row r="153" spans="1:14">
      <c r="A153" s="31">
        <v>152</v>
      </c>
      <c r="B153" s="31" t="s">
        <v>571</v>
      </c>
      <c r="C153" s="31" t="s">
        <v>560</v>
      </c>
      <c r="D153" s="32" t="s">
        <v>3327</v>
      </c>
      <c r="E153" s="32" t="s">
        <v>3328</v>
      </c>
      <c r="F153" s="31" t="s">
        <v>3329</v>
      </c>
      <c r="G153" s="31" t="s">
        <v>3330</v>
      </c>
      <c r="H153" s="31" t="s">
        <v>3331</v>
      </c>
      <c r="I153" s="31">
        <v>1</v>
      </c>
      <c r="J153" s="31">
        <v>1</v>
      </c>
      <c r="K153" s="31" t="s">
        <v>3332</v>
      </c>
      <c r="L153" s="31" t="s">
        <v>569</v>
      </c>
      <c r="M153" s="31">
        <v>2008</v>
      </c>
      <c r="N153" s="33" t="str">
        <f>HYPERLINK("http://services.igi-global.com/resolvedoi/resolve.aspx?doi=10.4018/978-1-59904-705-8")</f>
        <v>http://services.igi-global.com/resolvedoi/resolve.aspx?doi=10.4018/978-1-59904-705-8</v>
      </c>
    </row>
    <row r="154" spans="1:14">
      <c r="A154" s="31">
        <v>153</v>
      </c>
      <c r="B154" s="31" t="s">
        <v>571</v>
      </c>
      <c r="C154" s="31" t="s">
        <v>560</v>
      </c>
      <c r="D154" s="32" t="s">
        <v>3376</v>
      </c>
      <c r="E154" s="32" t="s">
        <v>3398</v>
      </c>
      <c r="F154" s="31" t="s">
        <v>3399</v>
      </c>
      <c r="G154" s="31" t="s">
        <v>3400</v>
      </c>
      <c r="H154" s="31" t="s">
        <v>3401</v>
      </c>
      <c r="I154" s="31">
        <v>1</v>
      </c>
      <c r="J154" s="31">
        <v>1</v>
      </c>
      <c r="K154" s="31" t="s">
        <v>1413</v>
      </c>
      <c r="L154" s="31" t="s">
        <v>569</v>
      </c>
      <c r="M154" s="31">
        <v>2013</v>
      </c>
      <c r="N154" s="33" t="str">
        <f>HYPERLINK("http://services.igi-global.com/resolvedoi/resolve.aspx?doi=10.4018/978-1-46662-479-5")</f>
        <v>http://services.igi-global.com/resolvedoi/resolve.aspx?doi=10.4018/978-1-46662-479-5</v>
      </c>
    </row>
    <row r="155" spans="1:14">
      <c r="A155" s="31">
        <v>154</v>
      </c>
      <c r="B155" s="31" t="s">
        <v>571</v>
      </c>
      <c r="C155" s="31" t="s">
        <v>560</v>
      </c>
      <c r="D155" s="32">
        <v>422</v>
      </c>
      <c r="E155" s="32" t="s">
        <v>3414</v>
      </c>
      <c r="F155" s="31" t="s">
        <v>3415</v>
      </c>
      <c r="G155" s="31" t="s">
        <v>3416</v>
      </c>
      <c r="H155" s="31" t="s">
        <v>3417</v>
      </c>
      <c r="I155" s="31">
        <v>1</v>
      </c>
      <c r="J155" s="31">
        <v>1</v>
      </c>
      <c r="K155" s="31" t="s">
        <v>1419</v>
      </c>
      <c r="L155" s="31" t="s">
        <v>569</v>
      </c>
      <c r="M155" s="31">
        <v>2010</v>
      </c>
      <c r="N155" s="33" t="str">
        <f>HYPERLINK("http://services.igi-global.com/resolvedoi/resolve.aspx?doi=10.4018/978-1-61692-014-2")</f>
        <v>http://services.igi-global.com/resolvedoi/resolve.aspx?doi=10.4018/978-1-61692-014-2</v>
      </c>
    </row>
    <row r="156" spans="1:14">
      <c r="A156" s="31">
        <v>155</v>
      </c>
      <c r="B156" s="31" t="s">
        <v>571</v>
      </c>
      <c r="C156" s="31" t="s">
        <v>560</v>
      </c>
      <c r="D156" s="32" t="s">
        <v>3321</v>
      </c>
      <c r="E156" s="32" t="s">
        <v>3322</v>
      </c>
      <c r="F156" s="31" t="s">
        <v>3323</v>
      </c>
      <c r="G156" s="31" t="s">
        <v>3324</v>
      </c>
      <c r="H156" s="31" t="s">
        <v>3325</v>
      </c>
      <c r="I156" s="31">
        <v>1</v>
      </c>
      <c r="J156" s="31">
        <v>1</v>
      </c>
      <c r="K156" s="31" t="s">
        <v>3326</v>
      </c>
      <c r="L156" s="31" t="s">
        <v>569</v>
      </c>
      <c r="M156" s="31">
        <v>2013</v>
      </c>
      <c r="N156" s="33" t="str">
        <f>HYPERLINK("http://services.igi-global.com/resolvedoi/resolve.aspx?doi=10.4018/978-1-46662-175-6")</f>
        <v>http://services.igi-global.com/resolvedoi/resolve.aspx?doi=10.4018/978-1-46662-175-6</v>
      </c>
    </row>
    <row r="157" spans="1:14">
      <c r="A157" s="31">
        <v>156</v>
      </c>
      <c r="B157" s="31" t="s">
        <v>571</v>
      </c>
      <c r="C157" s="31" t="s">
        <v>560</v>
      </c>
      <c r="D157" s="32" t="s">
        <v>3321</v>
      </c>
      <c r="E157" s="32" t="s">
        <v>3333</v>
      </c>
      <c r="F157" s="31" t="s">
        <v>3334</v>
      </c>
      <c r="G157" s="31" t="s">
        <v>3335</v>
      </c>
      <c r="H157" s="31" t="s">
        <v>3336</v>
      </c>
      <c r="I157" s="31">
        <v>1</v>
      </c>
      <c r="J157" s="31">
        <v>1</v>
      </c>
      <c r="K157" s="31" t="s">
        <v>1238</v>
      </c>
      <c r="L157" s="31" t="s">
        <v>569</v>
      </c>
      <c r="M157" s="31">
        <v>2013</v>
      </c>
      <c r="N157" s="33" t="str">
        <f>HYPERLINK("http://services.igi-global.com/resolvedoi/resolve.aspx?doi=10.4018/978-1-46662-476-4")</f>
        <v>http://services.igi-global.com/resolvedoi/resolve.aspx?doi=10.4018/978-1-46662-476-4</v>
      </c>
    </row>
    <row r="158" spans="1:14">
      <c r="A158" s="31">
        <v>157</v>
      </c>
      <c r="B158" s="31" t="s">
        <v>571</v>
      </c>
      <c r="C158" s="31" t="s">
        <v>560</v>
      </c>
      <c r="D158" s="32" t="s">
        <v>3337</v>
      </c>
      <c r="E158" s="32" t="s">
        <v>3338</v>
      </c>
      <c r="F158" s="31" t="s">
        <v>3339</v>
      </c>
      <c r="G158" s="31" t="s">
        <v>3340</v>
      </c>
      <c r="H158" s="31" t="s">
        <v>3341</v>
      </c>
      <c r="I158" s="31">
        <v>1</v>
      </c>
      <c r="J158" s="31">
        <v>1</v>
      </c>
      <c r="K158" s="31" t="s">
        <v>3342</v>
      </c>
      <c r="L158" s="31" t="s">
        <v>569</v>
      </c>
      <c r="M158" s="31">
        <v>2013</v>
      </c>
      <c r="N158" s="33" t="str">
        <f>HYPERLINK("http://services.igi-global.com/resolvedoi/resolve.aspx?doi=10.4018/978-1-46661-870-1")</f>
        <v>http://services.igi-global.com/resolvedoi/resolve.aspx?doi=10.4018/978-1-46661-870-1</v>
      </c>
    </row>
    <row r="159" spans="1:14">
      <c r="A159" s="31">
        <v>158</v>
      </c>
      <c r="B159" s="31" t="s">
        <v>571</v>
      </c>
      <c r="C159" s="31" t="s">
        <v>560</v>
      </c>
      <c r="D159" s="32" t="s">
        <v>3387</v>
      </c>
      <c r="E159" s="32" t="s">
        <v>3388</v>
      </c>
      <c r="F159" s="31" t="s">
        <v>3389</v>
      </c>
      <c r="G159" s="31" t="s">
        <v>3390</v>
      </c>
      <c r="H159" s="31" t="s">
        <v>3391</v>
      </c>
      <c r="I159" s="31">
        <v>1</v>
      </c>
      <c r="J159" s="31">
        <v>1</v>
      </c>
      <c r="K159" s="31" t="s">
        <v>3392</v>
      </c>
      <c r="L159" s="31" t="s">
        <v>569</v>
      </c>
      <c r="M159" s="31">
        <v>2010</v>
      </c>
      <c r="N159" s="33" t="str">
        <f>HYPERLINK("http://services.igi-global.com/resolvedoi/resolve.aspx?doi=10.4018/978-1-61520-666-7")</f>
        <v>http://services.igi-global.com/resolvedoi/resolve.aspx?doi=10.4018/978-1-61520-666-7</v>
      </c>
    </row>
    <row r="160" spans="1:14">
      <c r="A160" s="31">
        <v>159</v>
      </c>
      <c r="B160" s="31" t="s">
        <v>571</v>
      </c>
      <c r="C160" s="31" t="s">
        <v>560</v>
      </c>
      <c r="D160" s="32" t="s">
        <v>3376</v>
      </c>
      <c r="E160" s="32" t="s">
        <v>3377</v>
      </c>
      <c r="F160" s="31" t="s">
        <v>3378</v>
      </c>
      <c r="G160" s="31" t="s">
        <v>3379</v>
      </c>
      <c r="H160" s="31" t="s">
        <v>3380</v>
      </c>
      <c r="I160" s="31">
        <v>1</v>
      </c>
      <c r="J160" s="31">
        <v>1</v>
      </c>
      <c r="K160" s="31" t="s">
        <v>865</v>
      </c>
      <c r="L160" s="31" t="s">
        <v>569</v>
      </c>
      <c r="M160" s="31">
        <v>2013</v>
      </c>
      <c r="N160" s="33" t="str">
        <f>HYPERLINK("http://services.igi-global.com/resolvedoi/resolve.aspx?doi=10.4018/978-1-46662-086-5")</f>
        <v>http://services.igi-global.com/resolvedoi/resolve.aspx?doi=10.4018/978-1-46662-086-5</v>
      </c>
    </row>
    <row r="161" spans="1:14">
      <c r="A161" s="31">
        <v>160</v>
      </c>
      <c r="B161" s="31" t="s">
        <v>571</v>
      </c>
      <c r="C161" s="31" t="s">
        <v>560</v>
      </c>
      <c r="D161" s="32" t="s">
        <v>1821</v>
      </c>
      <c r="E161" s="32" t="s">
        <v>3348</v>
      </c>
      <c r="F161" s="31" t="s">
        <v>3349</v>
      </c>
      <c r="G161" s="31" t="s">
        <v>3350</v>
      </c>
      <c r="H161" s="31" t="s">
        <v>3351</v>
      </c>
      <c r="I161" s="31">
        <v>1</v>
      </c>
      <c r="J161" s="31">
        <v>1</v>
      </c>
      <c r="K161" s="31" t="s">
        <v>3352</v>
      </c>
      <c r="L161" s="31" t="s">
        <v>569</v>
      </c>
      <c r="M161" s="31">
        <v>2013</v>
      </c>
      <c r="N161" s="33" t="str">
        <f>HYPERLINK("http://services.igi-global.com/resolvedoi/resolve.aspx?doi=10.4018/978-1-46661-891-6")</f>
        <v>http://services.igi-global.com/resolvedoi/resolve.aspx?doi=10.4018/978-1-46661-891-6</v>
      </c>
    </row>
    <row r="162" spans="1:14">
      <c r="A162" s="31">
        <v>161</v>
      </c>
      <c r="B162" s="31" t="s">
        <v>571</v>
      </c>
      <c r="C162" s="31" t="s">
        <v>560</v>
      </c>
      <c r="D162" s="32" t="s">
        <v>3402</v>
      </c>
      <c r="E162" s="32" t="s">
        <v>3403</v>
      </c>
      <c r="F162" s="31" t="s">
        <v>3404</v>
      </c>
      <c r="G162" s="31" t="s">
        <v>3405</v>
      </c>
      <c r="H162" s="31" t="s">
        <v>3406</v>
      </c>
      <c r="I162" s="31">
        <v>1</v>
      </c>
      <c r="J162" s="31">
        <v>1</v>
      </c>
      <c r="K162" s="31" t="s">
        <v>3407</v>
      </c>
      <c r="L162" s="31" t="s">
        <v>569</v>
      </c>
      <c r="M162" s="31">
        <v>2013</v>
      </c>
      <c r="N162" s="33" t="str">
        <f>HYPERLINK("http://services.igi-global.com/resolvedoi/resolve.aspx?doi=10.4018/978-1-46662-672-0")</f>
        <v>http://services.igi-global.com/resolvedoi/resolve.aspx?doi=10.4018/978-1-46662-672-0</v>
      </c>
    </row>
    <row r="163" spans="1:14">
      <c r="A163" s="31">
        <v>162</v>
      </c>
      <c r="B163" s="31" t="s">
        <v>571</v>
      </c>
      <c r="C163" s="31" t="s">
        <v>560</v>
      </c>
      <c r="D163" s="32" t="s">
        <v>3359</v>
      </c>
      <c r="E163" s="32" t="s">
        <v>3360</v>
      </c>
      <c r="F163" s="31" t="s">
        <v>3361</v>
      </c>
      <c r="G163" s="31" t="s">
        <v>3362</v>
      </c>
      <c r="H163" s="31" t="s">
        <v>3363</v>
      </c>
      <c r="I163" s="31">
        <v>1</v>
      </c>
      <c r="J163" s="31">
        <v>1</v>
      </c>
      <c r="K163" s="31" t="s">
        <v>3364</v>
      </c>
      <c r="L163" s="31" t="s">
        <v>569</v>
      </c>
      <c r="M163" s="31">
        <v>2013</v>
      </c>
      <c r="N163" s="33" t="str">
        <f>HYPERLINK("http://services.igi-global.com/resolvedoi/resolve.aspx?doi=10.4018/978-1-46663-958-4")</f>
        <v>http://services.igi-global.com/resolvedoi/resolve.aspx?doi=10.4018/978-1-46663-958-4</v>
      </c>
    </row>
    <row r="164" spans="1:14">
      <c r="A164" s="31">
        <v>163</v>
      </c>
      <c r="B164" s="31" t="s">
        <v>571</v>
      </c>
      <c r="C164" s="31" t="s">
        <v>560</v>
      </c>
      <c r="D164" s="32" t="s">
        <v>1965</v>
      </c>
      <c r="E164" s="32" t="s">
        <v>3316</v>
      </c>
      <c r="F164" s="32" t="s">
        <v>3317</v>
      </c>
      <c r="G164" s="31" t="s">
        <v>3318</v>
      </c>
      <c r="H164" s="31" t="s">
        <v>3319</v>
      </c>
      <c r="I164" s="31">
        <v>1</v>
      </c>
      <c r="J164" s="31">
        <v>1</v>
      </c>
      <c r="K164" s="31" t="s">
        <v>3320</v>
      </c>
      <c r="L164" s="31" t="s">
        <v>569</v>
      </c>
      <c r="M164" s="31">
        <v>2013</v>
      </c>
      <c r="N164" s="33" t="str">
        <f>HYPERLINK("http://services.igi-global.com/resolvedoi/resolve.aspx?doi=10.4018/978-1-46663-634-7")</f>
        <v>http://services.igi-global.com/resolvedoi/resolve.aspx?doi=10.4018/978-1-46663-634-7</v>
      </c>
    </row>
    <row r="165" spans="1:14">
      <c r="A165" s="31">
        <v>164</v>
      </c>
      <c r="B165" s="31" t="s">
        <v>571</v>
      </c>
      <c r="C165" s="31" t="s">
        <v>560</v>
      </c>
      <c r="D165" s="32" t="s">
        <v>3408</v>
      </c>
      <c r="E165" s="32" t="s">
        <v>3409</v>
      </c>
      <c r="F165" s="31" t="s">
        <v>3410</v>
      </c>
      <c r="G165" s="31" t="s">
        <v>3411</v>
      </c>
      <c r="H165" s="31" t="s">
        <v>3412</v>
      </c>
      <c r="I165" s="31">
        <v>1</v>
      </c>
      <c r="J165" s="31">
        <v>1</v>
      </c>
      <c r="K165" s="31" t="s">
        <v>3413</v>
      </c>
      <c r="L165" s="31" t="s">
        <v>569</v>
      </c>
      <c r="M165" s="31">
        <v>2013</v>
      </c>
      <c r="N165" s="33" t="str">
        <f>HYPERLINK("http://services.igi-global.com/resolvedoi/resolve.aspx?doi=10.4018/978-1-46662-104-6")</f>
        <v>http://services.igi-global.com/resolvedoi/resolve.aspx?doi=10.4018/978-1-46662-104-6</v>
      </c>
    </row>
    <row r="166" spans="1:14">
      <c r="A166" s="31">
        <v>165</v>
      </c>
      <c r="B166" s="31" t="s">
        <v>571</v>
      </c>
      <c r="C166" s="31" t="s">
        <v>560</v>
      </c>
      <c r="D166" s="32" t="s">
        <v>3365</v>
      </c>
      <c r="E166" s="32" t="s">
        <v>3366</v>
      </c>
      <c r="F166" s="31" t="s">
        <v>3367</v>
      </c>
      <c r="G166" s="31" t="s">
        <v>3368</v>
      </c>
      <c r="H166" s="31" t="s">
        <v>3369</v>
      </c>
      <c r="I166" s="31">
        <v>1</v>
      </c>
      <c r="J166" s="31">
        <v>1</v>
      </c>
      <c r="K166" s="31" t="s">
        <v>3370</v>
      </c>
      <c r="L166" s="31" t="s">
        <v>569</v>
      </c>
      <c r="M166" s="31">
        <v>2013</v>
      </c>
      <c r="N166" s="33" t="str">
        <f>HYPERLINK("http://services.igi-global.com/resolvedoi/resolve.aspx?doi=10.4018/978-1-46662-074-2")</f>
        <v>http://services.igi-global.com/resolvedoi/resolve.aspx?doi=10.4018/978-1-46662-074-2</v>
      </c>
    </row>
    <row r="167" spans="1:14">
      <c r="A167" s="31">
        <v>166</v>
      </c>
      <c r="B167" s="31" t="s">
        <v>571</v>
      </c>
      <c r="C167" s="31" t="s">
        <v>560</v>
      </c>
      <c r="D167" s="32" t="s">
        <v>3371</v>
      </c>
      <c r="E167" s="32" t="s">
        <v>3372</v>
      </c>
      <c r="F167" s="31" t="s">
        <v>3373</v>
      </c>
      <c r="G167" s="31" t="s">
        <v>3374</v>
      </c>
      <c r="H167" s="31" t="s">
        <v>3375</v>
      </c>
      <c r="I167" s="31">
        <v>1</v>
      </c>
      <c r="J167" s="31">
        <v>1</v>
      </c>
      <c r="K167" s="31" t="s">
        <v>582</v>
      </c>
      <c r="L167" s="31" t="s">
        <v>569</v>
      </c>
      <c r="M167" s="31">
        <v>2013</v>
      </c>
      <c r="N167" s="33" t="str">
        <f>HYPERLINK("http://services.igi-global.com/resolvedoi/resolve.aspx?doi=10.4018/978-1-46663-652-1")</f>
        <v>http://services.igi-global.com/resolvedoi/resolve.aspx?doi=10.4018/978-1-46663-652-1</v>
      </c>
    </row>
    <row r="168" spans="1:14">
      <c r="A168" s="31">
        <v>167</v>
      </c>
      <c r="B168" s="31" t="s">
        <v>571</v>
      </c>
      <c r="C168" s="31" t="s">
        <v>560</v>
      </c>
      <c r="D168" s="32" t="s">
        <v>3381</v>
      </c>
      <c r="E168" s="32" t="s">
        <v>3382</v>
      </c>
      <c r="F168" s="31" t="s">
        <v>3383</v>
      </c>
      <c r="G168" s="31" t="s">
        <v>3384</v>
      </c>
      <c r="H168" s="31" t="s">
        <v>3385</v>
      </c>
      <c r="I168" s="31">
        <v>1</v>
      </c>
      <c r="J168" s="31">
        <v>1</v>
      </c>
      <c r="K168" s="31" t="s">
        <v>3386</v>
      </c>
      <c r="L168" s="31" t="s">
        <v>569</v>
      </c>
      <c r="M168" s="31">
        <v>2013</v>
      </c>
      <c r="N168" s="33" t="str">
        <f>HYPERLINK("http://services.igi-global.com/resolvedoi/resolve.aspx?doi=10.4018/978-1-46663-646-0")</f>
        <v>http://services.igi-global.com/resolvedoi/resolve.aspx?doi=10.4018/978-1-46663-646-0</v>
      </c>
    </row>
    <row r="169" spans="1:14">
      <c r="A169" s="31">
        <v>168</v>
      </c>
      <c r="B169" s="31" t="s">
        <v>571</v>
      </c>
      <c r="C169" s="31" t="s">
        <v>560</v>
      </c>
      <c r="D169" s="32" t="s">
        <v>3353</v>
      </c>
      <c r="E169" s="32" t="s">
        <v>3354</v>
      </c>
      <c r="F169" s="31" t="s">
        <v>3355</v>
      </c>
      <c r="G169" s="31" t="s">
        <v>3356</v>
      </c>
      <c r="H169" s="31" t="s">
        <v>3357</v>
      </c>
      <c r="I169" s="31">
        <v>1</v>
      </c>
      <c r="J169" s="31">
        <v>1</v>
      </c>
      <c r="K169" s="31" t="s">
        <v>3358</v>
      </c>
      <c r="L169" s="31" t="s">
        <v>569</v>
      </c>
      <c r="M169" s="31">
        <v>2013</v>
      </c>
      <c r="N169" s="33" t="str">
        <f>HYPERLINK("http://services.igi-global.com/resolvedoi/resolve.aspx?doi=10.4018/978-1-46663-682-8")</f>
        <v>http://services.igi-global.com/resolvedoi/resolve.aspx?doi=10.4018/978-1-46663-682-8</v>
      </c>
    </row>
    <row r="170" spans="1:14">
      <c r="A170" s="31">
        <v>169</v>
      </c>
      <c r="B170" s="31" t="s">
        <v>571</v>
      </c>
      <c r="C170" s="31" t="s">
        <v>1239</v>
      </c>
      <c r="D170" s="32" t="s">
        <v>3488</v>
      </c>
      <c r="E170" s="32" t="s">
        <v>3489</v>
      </c>
      <c r="F170" s="31" t="s">
        <v>3490</v>
      </c>
      <c r="G170" s="31" t="s">
        <v>3491</v>
      </c>
      <c r="H170" s="31" t="s">
        <v>3492</v>
      </c>
      <c r="I170" s="31">
        <v>1</v>
      </c>
      <c r="J170" s="31">
        <v>1</v>
      </c>
      <c r="K170" s="31" t="s">
        <v>3493</v>
      </c>
      <c r="L170" s="31" t="s">
        <v>569</v>
      </c>
      <c r="M170" s="31">
        <v>2013</v>
      </c>
      <c r="N170" s="33" t="str">
        <f>HYPERLINK("http://services.igi-global.com/resolvedoi/resolve.aspx?doi=10.4018/978-1-46662-782-6")</f>
        <v>http://services.igi-global.com/resolvedoi/resolve.aspx?doi=10.4018/978-1-46662-782-6</v>
      </c>
    </row>
    <row r="171" spans="1:14">
      <c r="A171" s="31">
        <v>170</v>
      </c>
      <c r="B171" s="31" t="s">
        <v>571</v>
      </c>
      <c r="C171" s="31" t="s">
        <v>1239</v>
      </c>
      <c r="D171" s="32" t="s">
        <v>2113</v>
      </c>
      <c r="E171" s="32" t="s">
        <v>3447</v>
      </c>
      <c r="F171" s="31" t="s">
        <v>3448</v>
      </c>
      <c r="G171" s="31" t="s">
        <v>3449</v>
      </c>
      <c r="H171" s="31" t="s">
        <v>3450</v>
      </c>
      <c r="I171" s="31">
        <v>1</v>
      </c>
      <c r="J171" s="31">
        <v>1</v>
      </c>
      <c r="K171" s="31" t="s">
        <v>562</v>
      </c>
      <c r="L171" s="31" t="s">
        <v>569</v>
      </c>
      <c r="M171" s="31">
        <v>2013</v>
      </c>
      <c r="N171" s="33" t="str">
        <f>HYPERLINK("http://services.igi-global.com/resolvedoi/resolve.aspx?doi=10.4018/978-1-46662-485-6")</f>
        <v>http://services.igi-global.com/resolvedoi/resolve.aspx?doi=10.4018/978-1-46662-485-6</v>
      </c>
    </row>
    <row r="172" spans="1:14">
      <c r="A172" s="31">
        <v>171</v>
      </c>
      <c r="B172" s="31" t="s">
        <v>571</v>
      </c>
      <c r="C172" s="31" t="s">
        <v>1239</v>
      </c>
      <c r="D172" s="32" t="s">
        <v>3451</v>
      </c>
      <c r="E172" s="32" t="s">
        <v>3452</v>
      </c>
      <c r="F172" s="31" t="s">
        <v>3453</v>
      </c>
      <c r="G172" s="31" t="s">
        <v>3454</v>
      </c>
      <c r="H172" s="31" t="s">
        <v>3455</v>
      </c>
      <c r="I172" s="31">
        <v>1</v>
      </c>
      <c r="J172" s="31">
        <v>1</v>
      </c>
      <c r="K172" s="31" t="s">
        <v>3456</v>
      </c>
      <c r="L172" s="31" t="s">
        <v>569</v>
      </c>
      <c r="M172" s="31">
        <v>2011</v>
      </c>
      <c r="N172" s="33" t="str">
        <f>HYPERLINK("http://services.igi-global.com/resolvedoi/resolve.aspx?doi=10.4018/978-1-60960-129-4")</f>
        <v>http://services.igi-global.com/resolvedoi/resolve.aspx?doi=10.4018/978-1-60960-129-4</v>
      </c>
    </row>
    <row r="173" spans="1:14">
      <c r="A173" s="31">
        <v>172</v>
      </c>
      <c r="B173" s="31" t="s">
        <v>571</v>
      </c>
      <c r="C173" s="31" t="s">
        <v>1239</v>
      </c>
      <c r="D173" s="32" t="s">
        <v>3465</v>
      </c>
      <c r="E173" s="32" t="s">
        <v>3466</v>
      </c>
      <c r="F173" s="31" t="s">
        <v>3467</v>
      </c>
      <c r="G173" s="31" t="s">
        <v>3468</v>
      </c>
      <c r="H173" s="31" t="s">
        <v>3469</v>
      </c>
      <c r="I173" s="31">
        <v>1</v>
      </c>
      <c r="J173" s="31">
        <v>1</v>
      </c>
      <c r="K173" s="31" t="s">
        <v>572</v>
      </c>
      <c r="L173" s="31" t="s">
        <v>568</v>
      </c>
      <c r="M173" s="31">
        <v>2013</v>
      </c>
      <c r="N173" s="33" t="str">
        <f>HYPERLINK("http://services.igi-global.com/resolvedoi/resolve.aspx?doi=10.4018/978-1-46662-473-3")</f>
        <v>http://services.igi-global.com/resolvedoi/resolve.aspx?doi=10.4018/978-1-46662-473-3</v>
      </c>
    </row>
    <row r="174" spans="1:14">
      <c r="A174" s="31">
        <v>173</v>
      </c>
      <c r="B174" s="31" t="s">
        <v>571</v>
      </c>
      <c r="C174" s="31" t="s">
        <v>1239</v>
      </c>
      <c r="D174" s="32" t="s">
        <v>2113</v>
      </c>
      <c r="E174" s="32" t="s">
        <v>3461</v>
      </c>
      <c r="F174" s="31" t="s">
        <v>3462</v>
      </c>
      <c r="G174" s="31" t="s">
        <v>3463</v>
      </c>
      <c r="H174" s="31" t="s">
        <v>3464</v>
      </c>
      <c r="I174" s="31">
        <v>1</v>
      </c>
      <c r="J174" s="31">
        <v>1</v>
      </c>
      <c r="K174" s="31" t="s">
        <v>943</v>
      </c>
      <c r="L174" s="31" t="s">
        <v>568</v>
      </c>
      <c r="M174" s="31">
        <v>2013</v>
      </c>
      <c r="N174" s="33" t="str">
        <f>HYPERLINK("http://services.igi-global.com/resolvedoi/resolve.aspx?doi=10.4018/978-1-46663-655-2")</f>
        <v>http://services.igi-global.com/resolvedoi/resolve.aspx?doi=10.4018/978-1-46663-655-2</v>
      </c>
    </row>
    <row r="175" spans="1:14">
      <c r="A175" s="31">
        <v>174</v>
      </c>
      <c r="B175" s="31" t="s">
        <v>571</v>
      </c>
      <c r="C175" s="31" t="s">
        <v>1239</v>
      </c>
      <c r="D175" s="32" t="s">
        <v>3441</v>
      </c>
      <c r="E175" s="32" t="s">
        <v>3442</v>
      </c>
      <c r="F175" s="31" t="s">
        <v>3443</v>
      </c>
      <c r="G175" s="31" t="s">
        <v>3444</v>
      </c>
      <c r="H175" s="31" t="s">
        <v>3445</v>
      </c>
      <c r="I175" s="31">
        <v>3</v>
      </c>
      <c r="J175" s="31">
        <v>1</v>
      </c>
      <c r="K175" s="31" t="s">
        <v>3446</v>
      </c>
      <c r="L175" s="31" t="s">
        <v>569</v>
      </c>
      <c r="M175" s="31">
        <v>2013</v>
      </c>
      <c r="N175" s="33" t="str">
        <f>HYPERLINK("http://services.igi-global.com/resolvedoi/resolve.aspx?doi=10.4018/978-1-46662-136-7")</f>
        <v>http://services.igi-global.com/resolvedoi/resolve.aspx?doi=10.4018/978-1-46662-136-7</v>
      </c>
    </row>
    <row r="176" spans="1:14">
      <c r="A176" s="31">
        <v>175</v>
      </c>
      <c r="B176" s="31" t="s">
        <v>571</v>
      </c>
      <c r="C176" s="31" t="s">
        <v>1239</v>
      </c>
      <c r="D176" s="32" t="s">
        <v>3418</v>
      </c>
      <c r="E176" s="32" t="s">
        <v>3419</v>
      </c>
      <c r="F176" s="31" t="s">
        <v>3420</v>
      </c>
      <c r="G176" s="31" t="s">
        <v>3421</v>
      </c>
      <c r="H176" s="31" t="s">
        <v>3422</v>
      </c>
      <c r="I176" s="31">
        <v>1</v>
      </c>
      <c r="J176" s="31">
        <v>1</v>
      </c>
      <c r="K176" s="31" t="s">
        <v>3423</v>
      </c>
      <c r="L176" s="31" t="s">
        <v>569</v>
      </c>
      <c r="M176" s="31">
        <v>2013</v>
      </c>
      <c r="N176" s="33" t="str">
        <f>HYPERLINK("http://services.igi-global.com/resolvedoi/resolve.aspx?doi=10.4018/978-1-46663-918-8")</f>
        <v>http://services.igi-global.com/resolvedoi/resolve.aspx?doi=10.4018/978-1-46663-918-8</v>
      </c>
    </row>
    <row r="177" spans="1:14">
      <c r="A177" s="31">
        <v>176</v>
      </c>
      <c r="B177" s="31" t="s">
        <v>571</v>
      </c>
      <c r="C177" s="31" t="s">
        <v>1239</v>
      </c>
      <c r="D177" s="32" t="s">
        <v>3424</v>
      </c>
      <c r="E177" s="32" t="s">
        <v>3425</v>
      </c>
      <c r="F177" s="31" t="s">
        <v>3426</v>
      </c>
      <c r="G177" s="31" t="s">
        <v>3427</v>
      </c>
      <c r="H177" s="31" t="s">
        <v>3428</v>
      </c>
      <c r="I177" s="31">
        <v>1</v>
      </c>
      <c r="J177" s="31">
        <v>1</v>
      </c>
      <c r="K177" s="31" t="s">
        <v>3429</v>
      </c>
      <c r="L177" s="31" t="s">
        <v>569</v>
      </c>
      <c r="M177" s="31">
        <v>2013</v>
      </c>
      <c r="N177" s="33" t="str">
        <f>HYPERLINK("http://services.igi-global.com/resolvedoi/resolve.aspx?doi=10.4018/978-1-46662-202-9")</f>
        <v>http://services.igi-global.com/resolvedoi/resolve.aspx?doi=10.4018/978-1-46662-202-9</v>
      </c>
    </row>
    <row r="178" spans="1:14">
      <c r="A178" s="31">
        <v>177</v>
      </c>
      <c r="B178" s="31" t="s">
        <v>571</v>
      </c>
      <c r="C178" s="31" t="s">
        <v>1239</v>
      </c>
      <c r="D178" s="32" t="s">
        <v>3470</v>
      </c>
      <c r="E178" s="32" t="s">
        <v>3471</v>
      </c>
      <c r="F178" s="31" t="s">
        <v>3472</v>
      </c>
      <c r="G178" s="31" t="s">
        <v>3473</v>
      </c>
      <c r="H178" s="31" t="s">
        <v>3474</v>
      </c>
      <c r="I178" s="31">
        <v>1</v>
      </c>
      <c r="J178" s="31">
        <v>1</v>
      </c>
      <c r="K178" s="31" t="s">
        <v>3475</v>
      </c>
      <c r="L178" s="31" t="s">
        <v>569</v>
      </c>
      <c r="M178" s="31">
        <v>2013</v>
      </c>
      <c r="N178" s="33" t="str">
        <f>HYPERLINK("http://services.igi-global.com/resolvedoi/resolve.aspx?doi=10.4018/978-1-46661-993-7")</f>
        <v>http://services.igi-global.com/resolvedoi/resolve.aspx?doi=10.4018/978-1-46661-993-7</v>
      </c>
    </row>
    <row r="179" spans="1:14">
      <c r="A179" s="31">
        <v>178</v>
      </c>
      <c r="B179" s="31" t="s">
        <v>571</v>
      </c>
      <c r="C179" s="31" t="s">
        <v>1239</v>
      </c>
      <c r="D179" s="32" t="s">
        <v>1837</v>
      </c>
      <c r="E179" s="32" t="s">
        <v>3457</v>
      </c>
      <c r="F179" s="31" t="s">
        <v>3458</v>
      </c>
      <c r="G179" s="31" t="s">
        <v>3459</v>
      </c>
      <c r="H179" s="31" t="s">
        <v>3460</v>
      </c>
      <c r="I179" s="31">
        <v>1</v>
      </c>
      <c r="J179" s="31">
        <v>1</v>
      </c>
      <c r="K179" s="31" t="s">
        <v>1612</v>
      </c>
      <c r="L179" s="31" t="s">
        <v>569</v>
      </c>
      <c r="M179" s="31">
        <v>2013</v>
      </c>
      <c r="N179" s="33" t="str">
        <f>HYPERLINK("http://services.igi-global.com/resolvedoi/resolve.aspx?doi=10.4018/978-1-46663-898-3")</f>
        <v>http://services.igi-global.com/resolvedoi/resolve.aspx?doi=10.4018/978-1-46663-898-3</v>
      </c>
    </row>
    <row r="180" spans="1:14">
      <c r="A180" s="31">
        <v>179</v>
      </c>
      <c r="B180" s="31" t="s">
        <v>571</v>
      </c>
      <c r="C180" s="31" t="s">
        <v>1239</v>
      </c>
      <c r="D180" s="32" t="s">
        <v>3430</v>
      </c>
      <c r="E180" s="32" t="s">
        <v>3431</v>
      </c>
      <c r="F180" s="31" t="s">
        <v>3432</v>
      </c>
      <c r="G180" s="31" t="s">
        <v>3433</v>
      </c>
      <c r="H180" s="31" t="s">
        <v>3434</v>
      </c>
      <c r="I180" s="31">
        <v>1</v>
      </c>
      <c r="J180" s="31">
        <v>1</v>
      </c>
      <c r="K180" s="31" t="s">
        <v>2596</v>
      </c>
      <c r="L180" s="31" t="s">
        <v>569</v>
      </c>
      <c r="M180" s="31">
        <v>2013</v>
      </c>
      <c r="N180" s="33" t="str">
        <f>HYPERLINK("http://services.igi-global.com/resolvedoi/resolve.aspx?doi=10.4018/978-1-46663-619-4")</f>
        <v>http://services.igi-global.com/resolvedoi/resolve.aspx?doi=10.4018/978-1-46663-619-4</v>
      </c>
    </row>
    <row r="181" spans="1:14">
      <c r="A181" s="31">
        <v>180</v>
      </c>
      <c r="B181" s="31" t="s">
        <v>571</v>
      </c>
      <c r="C181" s="31" t="s">
        <v>1239</v>
      </c>
      <c r="D181" s="32" t="s">
        <v>3482</v>
      </c>
      <c r="E181" s="32" t="s">
        <v>3483</v>
      </c>
      <c r="F181" s="31" t="s">
        <v>3484</v>
      </c>
      <c r="G181" s="31" t="s">
        <v>3485</v>
      </c>
      <c r="H181" s="31" t="s">
        <v>3486</v>
      </c>
      <c r="I181" s="31">
        <v>1</v>
      </c>
      <c r="J181" s="31">
        <v>1</v>
      </c>
      <c r="K181" s="31" t="s">
        <v>3487</v>
      </c>
      <c r="L181" s="31" t="s">
        <v>569</v>
      </c>
      <c r="M181" s="31">
        <v>2013</v>
      </c>
      <c r="N181" s="33" t="str">
        <f>HYPERLINK("http://services.igi-global.com/resolvedoi/resolve.aspx?doi=10.4018/978-1-46663-938-6")</f>
        <v>http://services.igi-global.com/resolvedoi/resolve.aspx?doi=10.4018/978-1-46663-938-6</v>
      </c>
    </row>
    <row r="182" spans="1:14">
      <c r="A182" s="31">
        <v>181</v>
      </c>
      <c r="B182" s="31" t="s">
        <v>571</v>
      </c>
      <c r="C182" s="31" t="s">
        <v>1239</v>
      </c>
      <c r="D182" s="32" t="s">
        <v>3435</v>
      </c>
      <c r="E182" s="32" t="s">
        <v>3436</v>
      </c>
      <c r="F182" s="31" t="s">
        <v>3437</v>
      </c>
      <c r="G182" s="31" t="s">
        <v>3438</v>
      </c>
      <c r="H182" s="31" t="s">
        <v>3439</v>
      </c>
      <c r="I182" s="31">
        <v>1</v>
      </c>
      <c r="J182" s="31">
        <v>1</v>
      </c>
      <c r="K182" s="31" t="s">
        <v>3440</v>
      </c>
      <c r="L182" s="31" t="s">
        <v>569</v>
      </c>
      <c r="M182" s="31">
        <v>2013</v>
      </c>
      <c r="N182" s="33" t="str">
        <f>HYPERLINK("http://services.igi-global.com/resolvedoi/resolve.aspx?doi=10.4018/978-1-46662-500-6")</f>
        <v>http://services.igi-global.com/resolvedoi/resolve.aspx?doi=10.4018/978-1-46662-500-6</v>
      </c>
    </row>
    <row r="183" spans="1:14">
      <c r="A183" s="31">
        <v>182</v>
      </c>
      <c r="B183" s="31" t="s">
        <v>571</v>
      </c>
      <c r="C183" s="31" t="s">
        <v>1239</v>
      </c>
      <c r="D183" s="32" t="s">
        <v>3476</v>
      </c>
      <c r="E183" s="32" t="s">
        <v>3477</v>
      </c>
      <c r="F183" s="31" t="s">
        <v>3478</v>
      </c>
      <c r="G183" s="31" t="s">
        <v>3479</v>
      </c>
      <c r="H183" s="31" t="s">
        <v>3480</v>
      </c>
      <c r="I183" s="31">
        <v>1</v>
      </c>
      <c r="J183" s="31">
        <v>1</v>
      </c>
      <c r="K183" s="31" t="s">
        <v>3481</v>
      </c>
      <c r="L183" s="31" t="s">
        <v>569</v>
      </c>
      <c r="M183" s="31">
        <v>2013</v>
      </c>
      <c r="N183" s="33" t="str">
        <f>HYPERLINK("http://services.igi-global.com/resolvedoi/resolve.aspx?doi=10.4018/978-1-46662-991-2")</f>
        <v>http://services.igi-global.com/resolvedoi/resolve.aspx?doi=10.4018/978-1-46662-991-2</v>
      </c>
    </row>
    <row r="184" spans="1:14">
      <c r="A184" s="31">
        <v>183</v>
      </c>
      <c r="B184" s="31" t="s">
        <v>571</v>
      </c>
      <c r="C184" s="31" t="s">
        <v>563</v>
      </c>
      <c r="D184" s="32">
        <v>572.80285000000003</v>
      </c>
      <c r="E184" s="32" t="s">
        <v>3494</v>
      </c>
      <c r="F184" s="31" t="s">
        <v>3495</v>
      </c>
      <c r="G184" s="31" t="s">
        <v>3496</v>
      </c>
      <c r="H184" s="31" t="s">
        <v>3497</v>
      </c>
      <c r="I184" s="31">
        <v>3</v>
      </c>
      <c r="J184" s="31">
        <v>1</v>
      </c>
      <c r="K184" s="31" t="s">
        <v>2754</v>
      </c>
      <c r="L184" s="31" t="s">
        <v>561</v>
      </c>
      <c r="M184" s="31">
        <v>2013</v>
      </c>
      <c r="N184" s="33" t="str">
        <f>HYPERLINK("http://services.igi-global.com/resolvedoi/resolve.aspx?doi=10.4018/978-1-46663-604-0")</f>
        <v>http://services.igi-global.com/resolvedoi/resolve.aspx?doi=10.4018/978-1-46663-604-0</v>
      </c>
    </row>
    <row r="185" spans="1:14">
      <c r="A185" s="31">
        <v>184</v>
      </c>
      <c r="B185" s="31" t="s">
        <v>571</v>
      </c>
      <c r="C185" s="31" t="s">
        <v>563</v>
      </c>
      <c r="D185" s="32" t="s">
        <v>3515</v>
      </c>
      <c r="E185" s="32" t="s">
        <v>3516</v>
      </c>
      <c r="F185" s="31" t="s">
        <v>3517</v>
      </c>
      <c r="G185" s="31" t="s">
        <v>3518</v>
      </c>
      <c r="H185" s="31" t="s">
        <v>3519</v>
      </c>
      <c r="I185" s="31">
        <v>1</v>
      </c>
      <c r="J185" s="31">
        <v>1</v>
      </c>
      <c r="K185" s="31" t="s">
        <v>3520</v>
      </c>
      <c r="L185" s="31" t="s">
        <v>561</v>
      </c>
      <c r="M185" s="31">
        <v>2011</v>
      </c>
      <c r="N185" s="33" t="str">
        <f>HYPERLINK("http://services.igi-global.com/resolvedoi/resolve.aspx?doi=10.4018/978-1-61692-883-4")</f>
        <v>http://services.igi-global.com/resolvedoi/resolve.aspx?doi=10.4018/978-1-61692-883-4</v>
      </c>
    </row>
    <row r="186" spans="1:14">
      <c r="A186" s="31">
        <v>185</v>
      </c>
      <c r="B186" s="31" t="s">
        <v>571</v>
      </c>
      <c r="C186" s="31" t="s">
        <v>563</v>
      </c>
      <c r="D186" s="32">
        <v>610.28</v>
      </c>
      <c r="E186" s="32" t="s">
        <v>3498</v>
      </c>
      <c r="F186" s="31" t="s">
        <v>3499</v>
      </c>
      <c r="G186" s="31" t="s">
        <v>3500</v>
      </c>
      <c r="H186" s="31" t="s">
        <v>3501</v>
      </c>
      <c r="I186" s="31">
        <v>1</v>
      </c>
      <c r="J186" s="31">
        <v>1</v>
      </c>
      <c r="K186" s="31" t="s">
        <v>1022</v>
      </c>
      <c r="L186" s="31" t="s">
        <v>561</v>
      </c>
      <c r="M186" s="31">
        <v>2013</v>
      </c>
      <c r="N186" s="33" t="str">
        <f>HYPERLINK("http://services.igi-global.com/resolvedoi/resolve.aspx?doi=10.4018/978-1-46662-113-8")</f>
        <v>http://services.igi-global.com/resolvedoi/resolve.aspx?doi=10.4018/978-1-46662-113-8</v>
      </c>
    </row>
    <row r="187" spans="1:14">
      <c r="A187" s="31">
        <v>186</v>
      </c>
      <c r="B187" s="31" t="s">
        <v>571</v>
      </c>
      <c r="C187" s="31" t="s">
        <v>563</v>
      </c>
      <c r="D187" s="32">
        <v>362.12200000000001</v>
      </c>
      <c r="E187" s="32" t="s">
        <v>3502</v>
      </c>
      <c r="F187" s="31" t="s">
        <v>3503</v>
      </c>
      <c r="G187" s="31" t="s">
        <v>3504</v>
      </c>
      <c r="H187" s="31" t="s">
        <v>3505</v>
      </c>
      <c r="I187" s="31">
        <v>1</v>
      </c>
      <c r="J187" s="31">
        <v>1</v>
      </c>
      <c r="K187" s="31" t="s">
        <v>1775</v>
      </c>
      <c r="L187" s="31" t="s">
        <v>561</v>
      </c>
      <c r="M187" s="31">
        <v>2010</v>
      </c>
      <c r="N187" s="33" t="str">
        <f>HYPERLINK("http://services.igi-global.com/resolvedoi/resolve.aspx?doi=10.4018/978-1-61520-723-7")</f>
        <v>http://services.igi-global.com/resolvedoi/resolve.aspx?doi=10.4018/978-1-61520-723-7</v>
      </c>
    </row>
    <row r="188" spans="1:14">
      <c r="A188" s="31">
        <v>187</v>
      </c>
      <c r="B188" s="31" t="s">
        <v>571</v>
      </c>
      <c r="C188" s="31" t="s">
        <v>563</v>
      </c>
      <c r="D188" s="32" t="s">
        <v>397</v>
      </c>
      <c r="E188" s="32" t="s">
        <v>3521</v>
      </c>
      <c r="F188" s="31" t="s">
        <v>3522</v>
      </c>
      <c r="G188" s="31" t="s">
        <v>3523</v>
      </c>
      <c r="H188" s="31" t="s">
        <v>3524</v>
      </c>
      <c r="I188" s="31">
        <v>1</v>
      </c>
      <c r="J188" s="31">
        <v>1</v>
      </c>
      <c r="K188" s="31" t="s">
        <v>3525</v>
      </c>
      <c r="L188" s="31" t="s">
        <v>561</v>
      </c>
      <c r="M188" s="31">
        <v>2009</v>
      </c>
      <c r="N188" s="33" t="str">
        <f>HYPERLINK("http://services.igi-global.com/resolvedoi/resolve.aspx?doi=10.4018/978-1-60566-314-2")</f>
        <v>http://services.igi-global.com/resolvedoi/resolve.aspx?doi=10.4018/978-1-60566-314-2</v>
      </c>
    </row>
    <row r="189" spans="1:14">
      <c r="A189" s="31">
        <v>188</v>
      </c>
      <c r="B189" s="31" t="s">
        <v>571</v>
      </c>
      <c r="C189" s="31" t="s">
        <v>563</v>
      </c>
      <c r="D189" s="32">
        <v>610.28499999999997</v>
      </c>
      <c r="E189" s="32" t="s">
        <v>3506</v>
      </c>
      <c r="F189" s="31" t="s">
        <v>3507</v>
      </c>
      <c r="G189" s="31" t="s">
        <v>3508</v>
      </c>
      <c r="H189" s="31" t="s">
        <v>3509</v>
      </c>
      <c r="I189" s="31">
        <v>1</v>
      </c>
      <c r="J189" s="31">
        <v>1</v>
      </c>
      <c r="K189" s="31" t="s">
        <v>3510</v>
      </c>
      <c r="L189" s="31" t="s">
        <v>561</v>
      </c>
      <c r="M189" s="31">
        <v>2013</v>
      </c>
      <c r="N189" s="33" t="str">
        <f>HYPERLINK("http://services.igi-global.com/resolvedoi/resolve.aspx?doi=10.4018/978-1-46662-671-3")</f>
        <v>http://services.igi-global.com/resolvedoi/resolve.aspx?doi=10.4018/978-1-46662-671-3</v>
      </c>
    </row>
    <row r="190" spans="1:14">
      <c r="A190" s="31">
        <v>189</v>
      </c>
      <c r="B190" s="31" t="s">
        <v>571</v>
      </c>
      <c r="C190" s="31" t="s">
        <v>563</v>
      </c>
      <c r="D190" s="32">
        <v>610.28499999999997</v>
      </c>
      <c r="E190" s="32" t="s">
        <v>3530</v>
      </c>
      <c r="F190" s="31" t="s">
        <v>3531</v>
      </c>
      <c r="G190" s="31" t="s">
        <v>3532</v>
      </c>
      <c r="H190" s="31" t="s">
        <v>3533</v>
      </c>
      <c r="I190" s="31">
        <v>1</v>
      </c>
      <c r="J190" s="31">
        <v>1</v>
      </c>
      <c r="K190" s="31" t="s">
        <v>3534</v>
      </c>
      <c r="L190" s="31" t="s">
        <v>561</v>
      </c>
      <c r="M190" s="31">
        <v>2011</v>
      </c>
      <c r="N190" s="33" t="str">
        <f>HYPERLINK("http://services.igi-global.com/resolvedoi/resolve.aspx?doi=10.4018/978-1-60960-177-5")</f>
        <v>http://services.igi-global.com/resolvedoi/resolve.aspx?doi=10.4018/978-1-60960-177-5</v>
      </c>
    </row>
    <row r="191" spans="1:14">
      <c r="A191" s="31">
        <v>190</v>
      </c>
      <c r="B191" s="31" t="s">
        <v>571</v>
      </c>
      <c r="C191" s="31" t="s">
        <v>563</v>
      </c>
      <c r="D191" s="32">
        <v>610.28499999999997</v>
      </c>
      <c r="E191" s="32" t="s">
        <v>3541</v>
      </c>
      <c r="F191" s="31" t="s">
        <v>3542</v>
      </c>
      <c r="G191" s="31" t="s">
        <v>3543</v>
      </c>
      <c r="H191" s="31" t="s">
        <v>3544</v>
      </c>
      <c r="I191" s="31">
        <v>1</v>
      </c>
      <c r="J191" s="31">
        <v>1</v>
      </c>
      <c r="K191" s="31" t="s">
        <v>3545</v>
      </c>
      <c r="L191" s="31" t="s">
        <v>561</v>
      </c>
      <c r="M191" s="31">
        <v>2013</v>
      </c>
      <c r="N191" s="33" t="str">
        <f>HYPERLINK("http://services.igi-global.com/resolvedoi/resolve.aspx?doi=10.4018/978-1-46663-667-5")</f>
        <v>http://services.igi-global.com/resolvedoi/resolve.aspx?doi=10.4018/978-1-46663-667-5</v>
      </c>
    </row>
    <row r="192" spans="1:14">
      <c r="A192" s="31">
        <v>191</v>
      </c>
      <c r="B192" s="31" t="s">
        <v>571</v>
      </c>
      <c r="C192" s="31" t="s">
        <v>563</v>
      </c>
      <c r="D192" s="32" t="s">
        <v>3552</v>
      </c>
      <c r="E192" s="32" t="s">
        <v>3553</v>
      </c>
      <c r="F192" s="31" t="s">
        <v>3554</v>
      </c>
      <c r="G192" s="31" t="s">
        <v>3555</v>
      </c>
      <c r="H192" s="31" t="s">
        <v>3556</v>
      </c>
      <c r="I192" s="31">
        <v>1</v>
      </c>
      <c r="J192" s="31">
        <v>1</v>
      </c>
      <c r="K192" s="31" t="s">
        <v>3557</v>
      </c>
      <c r="L192" s="31" t="s">
        <v>561</v>
      </c>
      <c r="M192" s="31">
        <v>2009</v>
      </c>
      <c r="N192" s="33" t="str">
        <f>HYPERLINK("http://services.igi-global.com/resolvedoi/resolve.aspx?doi=10.4018/978-1-60566-080-6")</f>
        <v>http://services.igi-global.com/resolvedoi/resolve.aspx?doi=10.4018/978-1-60566-080-6</v>
      </c>
    </row>
    <row r="193" spans="1:14">
      <c r="A193" s="31">
        <v>192</v>
      </c>
      <c r="B193" s="31" t="s">
        <v>571</v>
      </c>
      <c r="C193" s="31" t="s">
        <v>563</v>
      </c>
      <c r="D193" s="32" t="s">
        <v>3535</v>
      </c>
      <c r="E193" s="32" t="s">
        <v>3536</v>
      </c>
      <c r="F193" s="31" t="s">
        <v>3537</v>
      </c>
      <c r="G193" s="31" t="s">
        <v>3538</v>
      </c>
      <c r="H193" s="31" t="s">
        <v>3539</v>
      </c>
      <c r="I193" s="31">
        <v>1</v>
      </c>
      <c r="J193" s="31">
        <v>1</v>
      </c>
      <c r="K193" s="31" t="s">
        <v>3540</v>
      </c>
      <c r="L193" s="31" t="s">
        <v>561</v>
      </c>
      <c r="M193" s="31">
        <v>2009</v>
      </c>
      <c r="N193" s="33" t="str">
        <f>HYPERLINK("http://services.igi-global.com/resolvedoi/resolve.aspx?doi=10.4018/978-1-60566-202-2")</f>
        <v>http://services.igi-global.com/resolvedoi/resolve.aspx?doi=10.4018/978-1-60566-202-2</v>
      </c>
    </row>
    <row r="194" spans="1:14">
      <c r="A194" s="31">
        <v>193</v>
      </c>
      <c r="B194" s="31" t="s">
        <v>571</v>
      </c>
      <c r="C194" s="31" t="s">
        <v>563</v>
      </c>
      <c r="D194" s="32" t="s">
        <v>3546</v>
      </c>
      <c r="E194" s="32" t="s">
        <v>3547</v>
      </c>
      <c r="F194" s="31" t="s">
        <v>3548</v>
      </c>
      <c r="G194" s="31" t="s">
        <v>3549</v>
      </c>
      <c r="H194" s="31" t="s">
        <v>3550</v>
      </c>
      <c r="I194" s="31">
        <v>1</v>
      </c>
      <c r="J194" s="31">
        <v>1</v>
      </c>
      <c r="K194" s="31" t="s">
        <v>3551</v>
      </c>
      <c r="L194" s="31" t="s">
        <v>561</v>
      </c>
      <c r="M194" s="31">
        <v>2010</v>
      </c>
      <c r="N194" s="33" t="str">
        <f>HYPERLINK("http://services.igi-global.com/resolvedoi/resolve.aspx?doi=10.4018/978-1-60566-900-7")</f>
        <v>http://services.igi-global.com/resolvedoi/resolve.aspx?doi=10.4018/978-1-60566-900-7</v>
      </c>
    </row>
    <row r="195" spans="1:14">
      <c r="A195" s="31">
        <v>194</v>
      </c>
      <c r="B195" s="31" t="s">
        <v>571</v>
      </c>
      <c r="C195" s="31" t="s">
        <v>563</v>
      </c>
      <c r="D195" s="32">
        <v>610.28499999999997</v>
      </c>
      <c r="E195" s="32" t="s">
        <v>3511</v>
      </c>
      <c r="F195" s="31" t="s">
        <v>3512</v>
      </c>
      <c r="G195" s="31" t="s">
        <v>3513</v>
      </c>
      <c r="H195" s="31" t="s">
        <v>3514</v>
      </c>
      <c r="I195" s="31">
        <v>1</v>
      </c>
      <c r="J195" s="31">
        <v>1</v>
      </c>
      <c r="K195" s="31" t="s">
        <v>1575</v>
      </c>
      <c r="L195" s="31" t="s">
        <v>561</v>
      </c>
      <c r="M195" s="31">
        <v>2013</v>
      </c>
      <c r="N195" s="33" t="str">
        <f>HYPERLINK("http://services.igi-global.com/resolvedoi/resolve.aspx?doi=10.4018/978-1-46662-794-9")</f>
        <v>http://services.igi-global.com/resolvedoi/resolve.aspx?doi=10.4018/978-1-46662-794-9</v>
      </c>
    </row>
    <row r="196" spans="1:14">
      <c r="A196" s="31">
        <v>195</v>
      </c>
      <c r="B196" s="31" t="s">
        <v>571</v>
      </c>
      <c r="C196" s="31" t="s">
        <v>563</v>
      </c>
      <c r="D196" s="32">
        <v>610.28499999999997</v>
      </c>
      <c r="E196" s="32" t="s">
        <v>3526</v>
      </c>
      <c r="F196" s="31" t="s">
        <v>3527</v>
      </c>
      <c r="G196" s="31" t="s">
        <v>3528</v>
      </c>
      <c r="H196" s="31" t="s">
        <v>3529</v>
      </c>
      <c r="I196" s="31">
        <v>1</v>
      </c>
      <c r="J196" s="31">
        <v>1</v>
      </c>
      <c r="K196" s="31" t="s">
        <v>1261</v>
      </c>
      <c r="L196" s="31" t="s">
        <v>561</v>
      </c>
      <c r="M196" s="31">
        <v>2013</v>
      </c>
      <c r="N196" s="33" t="str">
        <f>HYPERLINK("http://services.igi-global.com/resolvedoi/resolve.aspx?doi=10.4018/978-1-46662-797-0")</f>
        <v>http://services.igi-global.com/resolvedoi/resolve.aspx?doi=10.4018/978-1-46662-797-0</v>
      </c>
    </row>
    <row r="197" spans="1:14">
      <c r="A197" s="31">
        <v>196</v>
      </c>
      <c r="B197" s="31" t="s">
        <v>571</v>
      </c>
      <c r="C197" s="31" t="s">
        <v>1298</v>
      </c>
      <c r="D197" s="32">
        <v>794.8</v>
      </c>
      <c r="E197" s="32" t="s">
        <v>3597</v>
      </c>
      <c r="F197" s="31" t="s">
        <v>3598</v>
      </c>
      <c r="G197" s="31" t="s">
        <v>3599</v>
      </c>
      <c r="H197" s="31" t="s">
        <v>3600</v>
      </c>
      <c r="I197" s="31">
        <v>1</v>
      </c>
      <c r="J197" s="31">
        <v>1</v>
      </c>
      <c r="K197" s="31" t="s">
        <v>1112</v>
      </c>
      <c r="L197" s="31" t="s">
        <v>569</v>
      </c>
      <c r="M197" s="31">
        <v>2011</v>
      </c>
      <c r="N197" s="33" t="str">
        <f>HYPERLINK("http://services.igi-global.com/resolvedoi/resolve.aspx?doi=10.4018/978-1-60960-120-1")</f>
        <v>http://services.igi-global.com/resolvedoi/resolve.aspx?doi=10.4018/978-1-60960-120-1</v>
      </c>
    </row>
    <row r="198" spans="1:14">
      <c r="A198" s="31">
        <v>197</v>
      </c>
      <c r="B198" s="31" t="s">
        <v>571</v>
      </c>
      <c r="C198" s="31" t="s">
        <v>1298</v>
      </c>
      <c r="D198" s="32" t="s">
        <v>2107</v>
      </c>
      <c r="E198" s="32" t="s">
        <v>3641</v>
      </c>
      <c r="F198" s="31" t="s">
        <v>3642</v>
      </c>
      <c r="G198" s="31" t="s">
        <v>3643</v>
      </c>
      <c r="H198" s="31" t="s">
        <v>3644</v>
      </c>
      <c r="I198" s="31">
        <v>1</v>
      </c>
      <c r="J198" s="31">
        <v>1</v>
      </c>
      <c r="K198" s="31" t="s">
        <v>570</v>
      </c>
      <c r="L198" s="31" t="s">
        <v>569</v>
      </c>
      <c r="M198" s="31">
        <v>2013</v>
      </c>
      <c r="N198" s="33" t="str">
        <f>HYPERLINK("http://services.igi-global.com/resolvedoi/resolve.aspx?doi=10.4018/978-1-46662-654-6")</f>
        <v>http://services.igi-global.com/resolvedoi/resolve.aspx?doi=10.4018/978-1-46662-654-6</v>
      </c>
    </row>
    <row r="199" spans="1:14">
      <c r="A199" s="31">
        <v>198</v>
      </c>
      <c r="B199" s="31" t="s">
        <v>571</v>
      </c>
      <c r="C199" s="31" t="s">
        <v>1298</v>
      </c>
      <c r="D199" s="32" t="s">
        <v>3635</v>
      </c>
      <c r="E199" s="32" t="s">
        <v>3636</v>
      </c>
      <c r="F199" s="31" t="s">
        <v>3637</v>
      </c>
      <c r="G199" s="31" t="s">
        <v>3638</v>
      </c>
      <c r="H199" s="31" t="s">
        <v>3639</v>
      </c>
      <c r="I199" s="31">
        <v>1</v>
      </c>
      <c r="J199" s="31">
        <v>1</v>
      </c>
      <c r="K199" s="31" t="s">
        <v>3640</v>
      </c>
      <c r="L199" s="31" t="s">
        <v>569</v>
      </c>
      <c r="M199" s="31">
        <v>2011</v>
      </c>
      <c r="N199" s="33" t="str">
        <f>HYPERLINK("http://services.igi-global.com/resolvedoi/resolve.aspx?doi=10.4018/978-1-61692-818-6")</f>
        <v>http://services.igi-global.com/resolvedoi/resolve.aspx?doi=10.4018/978-1-61692-818-6</v>
      </c>
    </row>
    <row r="200" spans="1:14">
      <c r="A200" s="31">
        <v>199</v>
      </c>
      <c r="B200" s="31" t="s">
        <v>571</v>
      </c>
      <c r="C200" s="31" t="s">
        <v>1298</v>
      </c>
      <c r="D200" s="32" t="s">
        <v>3601</v>
      </c>
      <c r="E200" s="32" t="s">
        <v>3602</v>
      </c>
      <c r="F200" s="31" t="s">
        <v>3603</v>
      </c>
      <c r="G200" s="31" t="s">
        <v>3604</v>
      </c>
      <c r="H200" s="31" t="s">
        <v>3605</v>
      </c>
      <c r="I200" s="31">
        <v>1</v>
      </c>
      <c r="J200" s="31">
        <v>1</v>
      </c>
      <c r="K200" s="31" t="s">
        <v>3606</v>
      </c>
      <c r="L200" s="31" t="s">
        <v>569</v>
      </c>
      <c r="M200" s="31">
        <v>2013</v>
      </c>
      <c r="N200" s="33" t="str">
        <f>HYPERLINK("http://services.igi-global.com/resolvedoi/resolve.aspx?doi=10.4018/978-1-46662-961-5")</f>
        <v>http://services.igi-global.com/resolvedoi/resolve.aspx?doi=10.4018/978-1-46662-961-5</v>
      </c>
    </row>
    <row r="201" spans="1:14">
      <c r="A201" s="31">
        <v>200</v>
      </c>
      <c r="B201" s="31" t="s">
        <v>571</v>
      </c>
      <c r="C201" s="31" t="s">
        <v>1298</v>
      </c>
      <c r="D201" s="32" t="s">
        <v>2799</v>
      </c>
      <c r="E201" s="32" t="s">
        <v>3645</v>
      </c>
      <c r="F201" s="31" t="s">
        <v>3646</v>
      </c>
      <c r="G201" s="31" t="s">
        <v>3647</v>
      </c>
      <c r="H201" s="31" t="s">
        <v>3648</v>
      </c>
      <c r="I201" s="31">
        <v>1</v>
      </c>
      <c r="J201" s="31">
        <v>1</v>
      </c>
      <c r="K201" s="31" t="s">
        <v>1303</v>
      </c>
      <c r="L201" s="31" t="s">
        <v>569</v>
      </c>
      <c r="M201" s="31">
        <v>2013</v>
      </c>
      <c r="N201" s="33" t="str">
        <f>HYPERLINK("http://services.igi-global.com/resolvedoi/resolve.aspx?doi=10.4018/978-1-46662-940-0")</f>
        <v>http://services.igi-global.com/resolvedoi/resolve.aspx?doi=10.4018/978-1-46662-940-0</v>
      </c>
    </row>
    <row r="202" spans="1:14">
      <c r="A202" s="31">
        <v>201</v>
      </c>
      <c r="B202" s="31" t="s">
        <v>571</v>
      </c>
      <c r="C202" s="31" t="s">
        <v>1298</v>
      </c>
      <c r="D202" s="32" t="s">
        <v>2799</v>
      </c>
      <c r="E202" s="32" t="s">
        <v>3649</v>
      </c>
      <c r="F202" s="31" t="s">
        <v>3650</v>
      </c>
      <c r="G202" s="31" t="s">
        <v>3651</v>
      </c>
      <c r="H202" s="31" t="s">
        <v>3652</v>
      </c>
      <c r="I202" s="31">
        <v>1</v>
      </c>
      <c r="J202" s="31">
        <v>1</v>
      </c>
      <c r="K202" s="31" t="s">
        <v>3653</v>
      </c>
      <c r="L202" s="31" t="s">
        <v>569</v>
      </c>
      <c r="M202" s="31">
        <v>2013</v>
      </c>
      <c r="N202" s="33" t="str">
        <f>HYPERLINK("http://services.igi-global.com/resolvedoi/resolve.aspx?doi=10.4018/978-1-46662-217-3")</f>
        <v>http://services.igi-global.com/resolvedoi/resolve.aspx?doi=10.4018/978-1-46662-217-3</v>
      </c>
    </row>
    <row r="203" spans="1:14">
      <c r="A203" s="31">
        <v>202</v>
      </c>
      <c r="B203" s="31" t="s">
        <v>571</v>
      </c>
      <c r="C203" s="31" t="s">
        <v>1298</v>
      </c>
      <c r="D203" s="32" t="s">
        <v>3625</v>
      </c>
      <c r="E203" s="32" t="s">
        <v>3626</v>
      </c>
      <c r="F203" s="31" t="s">
        <v>3627</v>
      </c>
      <c r="G203" s="31" t="s">
        <v>3628</v>
      </c>
      <c r="H203" s="31" t="s">
        <v>3629</v>
      </c>
      <c r="I203" s="31">
        <v>1</v>
      </c>
      <c r="J203" s="31">
        <v>1</v>
      </c>
      <c r="K203" s="31" t="s">
        <v>1363</v>
      </c>
      <c r="L203" s="31" t="s">
        <v>569</v>
      </c>
      <c r="M203" s="31">
        <v>2013</v>
      </c>
      <c r="N203" s="33" t="str">
        <f>HYPERLINK("http://services.igi-global.com/resolvedoi/resolve.aspx?doi=10.4018/978-1-46662-785-7")</f>
        <v>http://services.igi-global.com/resolvedoi/resolve.aspx?doi=10.4018/978-1-46662-785-7</v>
      </c>
    </row>
    <row r="204" spans="1:14">
      <c r="A204" s="31">
        <v>203</v>
      </c>
      <c r="B204" s="31" t="s">
        <v>571</v>
      </c>
      <c r="C204" s="31" t="s">
        <v>1298</v>
      </c>
      <c r="D204" s="32" t="s">
        <v>3430</v>
      </c>
      <c r="E204" s="32" t="s">
        <v>3685</v>
      </c>
      <c r="F204" s="31" t="s">
        <v>3686</v>
      </c>
      <c r="G204" s="31" t="s">
        <v>3687</v>
      </c>
      <c r="H204" s="31" t="s">
        <v>3688</v>
      </c>
      <c r="I204" s="31">
        <v>1</v>
      </c>
      <c r="J204" s="31">
        <v>1</v>
      </c>
      <c r="K204" s="31" t="s">
        <v>578</v>
      </c>
      <c r="L204" s="31" t="s">
        <v>569</v>
      </c>
      <c r="M204" s="31">
        <v>2013</v>
      </c>
      <c r="N204" s="33" t="str">
        <f>HYPERLINK("http://services.igi-global.com/resolvedoi/resolve.aspx?doi=10.4018/978-1-46661-939-5")</f>
        <v>http://services.igi-global.com/resolvedoi/resolve.aspx?doi=10.4018/978-1-46661-939-5</v>
      </c>
    </row>
    <row r="205" spans="1:14">
      <c r="A205" s="31">
        <v>204</v>
      </c>
      <c r="B205" s="31" t="s">
        <v>571</v>
      </c>
      <c r="C205" s="31" t="s">
        <v>1298</v>
      </c>
      <c r="D205" s="32" t="s">
        <v>1821</v>
      </c>
      <c r="E205" s="32" t="s">
        <v>3612</v>
      </c>
      <c r="F205" s="31" t="s">
        <v>3613</v>
      </c>
      <c r="G205" s="31" t="s">
        <v>3614</v>
      </c>
      <c r="H205" s="31" t="s">
        <v>3615</v>
      </c>
      <c r="I205" s="31">
        <v>1</v>
      </c>
      <c r="J205" s="31">
        <v>1</v>
      </c>
      <c r="K205" s="31" t="s">
        <v>1826</v>
      </c>
      <c r="L205" s="31" t="s">
        <v>569</v>
      </c>
      <c r="M205" s="31">
        <v>2013</v>
      </c>
      <c r="N205" s="33" t="str">
        <f>HYPERLINK("http://services.igi-global.com/resolvedoi/resolve.aspx?doi=10.4018/978-1-46663-906-5")</f>
        <v>http://services.igi-global.com/resolvedoi/resolve.aspx?doi=10.4018/978-1-46663-906-5</v>
      </c>
    </row>
    <row r="206" spans="1:14">
      <c r="A206" s="31">
        <v>205</v>
      </c>
      <c r="B206" s="31" t="s">
        <v>571</v>
      </c>
      <c r="C206" s="31" t="s">
        <v>1298</v>
      </c>
      <c r="D206" s="32" t="s">
        <v>3607</v>
      </c>
      <c r="E206" s="32" t="s">
        <v>3608</v>
      </c>
      <c r="F206" s="31" t="s">
        <v>3609</v>
      </c>
      <c r="G206" s="31" t="s">
        <v>3610</v>
      </c>
      <c r="H206" s="31" t="s">
        <v>3611</v>
      </c>
      <c r="I206" s="31">
        <v>3</v>
      </c>
      <c r="J206" s="31">
        <v>1</v>
      </c>
      <c r="K206" s="31" t="s">
        <v>2754</v>
      </c>
      <c r="L206" s="31" t="s">
        <v>569</v>
      </c>
      <c r="M206" s="31">
        <v>2013</v>
      </c>
      <c r="N206" s="33" t="str">
        <f>HYPERLINK("http://services.igi-global.com/resolvedoi/resolve.aspx?doi=10.4018/978-1-46663-994-2")</f>
        <v>http://services.igi-global.com/resolvedoi/resolve.aspx?doi=10.4018/978-1-46663-994-2</v>
      </c>
    </row>
    <row r="207" spans="1:14">
      <c r="A207" s="31">
        <v>206</v>
      </c>
      <c r="B207" s="31" t="s">
        <v>571</v>
      </c>
      <c r="C207" s="31" t="s">
        <v>1298</v>
      </c>
      <c r="D207" s="32" t="s">
        <v>3630</v>
      </c>
      <c r="E207" s="32" t="s">
        <v>3631</v>
      </c>
      <c r="F207" s="31" t="s">
        <v>3632</v>
      </c>
      <c r="G207" s="31" t="s">
        <v>3633</v>
      </c>
      <c r="H207" s="31" t="s">
        <v>3634</v>
      </c>
      <c r="I207" s="31">
        <v>1</v>
      </c>
      <c r="J207" s="31">
        <v>1</v>
      </c>
      <c r="K207" s="31" t="s">
        <v>1277</v>
      </c>
      <c r="L207" s="31" t="s">
        <v>569</v>
      </c>
      <c r="M207" s="31">
        <v>2013</v>
      </c>
      <c r="N207" s="33" t="str">
        <f>HYPERLINK("http://services.igi-global.com/resolvedoi/resolve.aspx?doi=10.4018/978-1-46662-470-2")</f>
        <v>http://services.igi-global.com/resolvedoi/resolve.aspx?doi=10.4018/978-1-46662-470-2</v>
      </c>
    </row>
    <row r="208" spans="1:14">
      <c r="A208" s="31">
        <v>207</v>
      </c>
      <c r="B208" s="31" t="s">
        <v>571</v>
      </c>
      <c r="C208" s="31" t="s">
        <v>1298</v>
      </c>
      <c r="D208" s="32">
        <v>621.38199999999995</v>
      </c>
      <c r="E208" s="32" t="s">
        <v>3587</v>
      </c>
      <c r="F208" s="31" t="s">
        <v>3588</v>
      </c>
      <c r="G208" s="31" t="s">
        <v>3589</v>
      </c>
      <c r="H208" s="31" t="s">
        <v>3590</v>
      </c>
      <c r="I208" s="31">
        <v>1</v>
      </c>
      <c r="J208" s="31">
        <v>1</v>
      </c>
      <c r="K208" s="31" t="s">
        <v>3591</v>
      </c>
      <c r="L208" s="31" t="s">
        <v>569</v>
      </c>
      <c r="M208" s="31">
        <v>2013</v>
      </c>
      <c r="N208" s="33" t="str">
        <f>HYPERLINK("http://services.igi-global.com/resolvedoi/resolve.aspx?doi=10.4018/978-1-46662-976-9")</f>
        <v>http://services.igi-global.com/resolvedoi/resolve.aspx?doi=10.4018/978-1-46662-976-9</v>
      </c>
    </row>
    <row r="209" spans="1:14">
      <c r="A209" s="31">
        <v>208</v>
      </c>
      <c r="B209" s="31" t="s">
        <v>571</v>
      </c>
      <c r="C209" s="31" t="s">
        <v>1298</v>
      </c>
      <c r="D209" s="32" t="s">
        <v>3408</v>
      </c>
      <c r="E209" s="32" t="s">
        <v>3621</v>
      </c>
      <c r="F209" s="31" t="s">
        <v>3622</v>
      </c>
      <c r="G209" s="31" t="s">
        <v>3623</v>
      </c>
      <c r="H209" s="31" t="s">
        <v>3624</v>
      </c>
      <c r="I209" s="31">
        <v>1</v>
      </c>
      <c r="J209" s="31">
        <v>1</v>
      </c>
      <c r="K209" s="31" t="s">
        <v>536</v>
      </c>
      <c r="L209" s="31" t="s">
        <v>569</v>
      </c>
      <c r="M209" s="31">
        <v>2013</v>
      </c>
      <c r="N209" s="33" t="str">
        <f>HYPERLINK("http://services.igi-global.com/resolvedoi/resolve.aspx?doi=10.4018/978-1-46662-658-4")</f>
        <v>http://services.igi-global.com/resolvedoi/resolve.aspx?doi=10.4018/978-1-46662-658-4</v>
      </c>
    </row>
    <row r="210" spans="1:14">
      <c r="A210" s="31">
        <v>209</v>
      </c>
      <c r="B210" s="31" t="s">
        <v>571</v>
      </c>
      <c r="C210" s="31" t="s">
        <v>1298</v>
      </c>
      <c r="D210" s="32">
        <v>621.38199999999995</v>
      </c>
      <c r="E210" s="32" t="s">
        <v>3567</v>
      </c>
      <c r="F210" s="31" t="s">
        <v>3568</v>
      </c>
      <c r="G210" s="31" t="s">
        <v>3569</v>
      </c>
      <c r="H210" s="31" t="s">
        <v>3570</v>
      </c>
      <c r="I210" s="31">
        <v>1</v>
      </c>
      <c r="J210" s="31">
        <v>1</v>
      </c>
      <c r="K210" s="31" t="s">
        <v>388</v>
      </c>
      <c r="L210" s="31" t="s">
        <v>569</v>
      </c>
      <c r="M210" s="31">
        <v>2013</v>
      </c>
      <c r="N210" s="33" t="str">
        <f>HYPERLINK("http://services.igi-global.com/resolvedoi/resolve.aspx?doi=10.4018/978-1-46662-154-1")</f>
        <v>http://services.igi-global.com/resolvedoi/resolve.aspx?doi=10.4018/978-1-46662-154-1</v>
      </c>
    </row>
    <row r="211" spans="1:14">
      <c r="A211" s="31">
        <v>210</v>
      </c>
      <c r="B211" s="31" t="s">
        <v>571</v>
      </c>
      <c r="C211" s="31" t="s">
        <v>1298</v>
      </c>
      <c r="D211" s="32" t="s">
        <v>513</v>
      </c>
      <c r="E211" s="32" t="s">
        <v>3670</v>
      </c>
      <c r="F211" s="31" t="s">
        <v>3671</v>
      </c>
      <c r="G211" s="31" t="s">
        <v>3672</v>
      </c>
      <c r="H211" s="31" t="s">
        <v>3673</v>
      </c>
      <c r="I211" s="31">
        <v>1</v>
      </c>
      <c r="J211" s="31">
        <v>1</v>
      </c>
      <c r="K211" s="31" t="s">
        <v>3674</v>
      </c>
      <c r="L211" s="31" t="s">
        <v>569</v>
      </c>
      <c r="M211" s="31">
        <v>2013</v>
      </c>
      <c r="N211" s="33" t="str">
        <f>HYPERLINK("http://services.igi-global.com/resolvedoi/resolve.aspx?doi=10.4018/978-1-46663-902-7")</f>
        <v>http://services.igi-global.com/resolvedoi/resolve.aspx?doi=10.4018/978-1-46663-902-7</v>
      </c>
    </row>
    <row r="212" spans="1:14">
      <c r="A212" s="31">
        <v>211</v>
      </c>
      <c r="B212" s="31" t="s">
        <v>571</v>
      </c>
      <c r="C212" s="31" t="s">
        <v>1298</v>
      </c>
      <c r="D212" s="32" t="s">
        <v>3581</v>
      </c>
      <c r="E212" s="32" t="s">
        <v>3582</v>
      </c>
      <c r="F212" s="31" t="s">
        <v>3583</v>
      </c>
      <c r="G212" s="31" t="s">
        <v>3584</v>
      </c>
      <c r="H212" s="31" t="s">
        <v>3585</v>
      </c>
      <c r="I212" s="31">
        <v>1</v>
      </c>
      <c r="J212" s="31">
        <v>1</v>
      </c>
      <c r="K212" s="31" t="s">
        <v>3586</v>
      </c>
      <c r="L212" s="31" t="s">
        <v>569</v>
      </c>
      <c r="M212" s="31">
        <v>2013</v>
      </c>
      <c r="N212" s="33" t="str">
        <f>HYPERLINK("http://services.igi-global.com/resolvedoi/resolve.aspx?doi=10.4018/978-1-46662-005-6")</f>
        <v>http://services.igi-global.com/resolvedoi/resolve.aspx?doi=10.4018/978-1-46662-005-6</v>
      </c>
    </row>
    <row r="213" spans="1:14">
      <c r="A213" s="31">
        <v>212</v>
      </c>
      <c r="B213" s="31" t="s">
        <v>571</v>
      </c>
      <c r="C213" s="31" t="s">
        <v>1298</v>
      </c>
      <c r="D213" s="32" t="s">
        <v>3675</v>
      </c>
      <c r="E213" s="32" t="s">
        <v>3676</v>
      </c>
      <c r="F213" s="31" t="s">
        <v>3677</v>
      </c>
      <c r="G213" s="31" t="s">
        <v>3678</v>
      </c>
      <c r="H213" s="31" t="s">
        <v>3679</v>
      </c>
      <c r="I213" s="31">
        <v>1</v>
      </c>
      <c r="J213" s="31">
        <v>1</v>
      </c>
      <c r="K213" s="31" t="s">
        <v>3680</v>
      </c>
      <c r="L213" s="31" t="s">
        <v>569</v>
      </c>
      <c r="M213" s="31">
        <v>2013</v>
      </c>
      <c r="N213" s="33" t="str">
        <f>HYPERLINK("http://services.igi-global.com/resolvedoi/resolve.aspx?doi=10.4018/978-1-46662-812-0")</f>
        <v>http://services.igi-global.com/resolvedoi/resolve.aspx?doi=10.4018/978-1-46662-812-0</v>
      </c>
    </row>
    <row r="214" spans="1:14">
      <c r="A214" s="31">
        <v>213</v>
      </c>
      <c r="B214" s="31" t="s">
        <v>571</v>
      </c>
      <c r="C214" s="31" t="s">
        <v>1298</v>
      </c>
      <c r="D214" s="32" t="s">
        <v>3592</v>
      </c>
      <c r="E214" s="32" t="s">
        <v>3593</v>
      </c>
      <c r="F214" s="31" t="s">
        <v>3594</v>
      </c>
      <c r="G214" s="31" t="s">
        <v>3595</v>
      </c>
      <c r="H214" s="31" t="s">
        <v>3596</v>
      </c>
      <c r="I214" s="31">
        <v>1</v>
      </c>
      <c r="J214" s="31">
        <v>1</v>
      </c>
      <c r="K214" s="31" t="s">
        <v>537</v>
      </c>
      <c r="L214" s="31" t="s">
        <v>569</v>
      </c>
      <c r="M214" s="31">
        <v>2013</v>
      </c>
      <c r="N214" s="33" t="str">
        <f>HYPERLINK("http://services.igi-global.com/resolvedoi/resolve.aspx?doi=10.4018/978-1-46662-163-3")</f>
        <v>http://services.igi-global.com/resolvedoi/resolve.aspx?doi=10.4018/978-1-46662-163-3</v>
      </c>
    </row>
    <row r="215" spans="1:14">
      <c r="A215" s="31">
        <v>214</v>
      </c>
      <c r="B215" s="31" t="s">
        <v>571</v>
      </c>
      <c r="C215" s="31" t="s">
        <v>1298</v>
      </c>
      <c r="D215" s="32" t="s">
        <v>3654</v>
      </c>
      <c r="E215" s="32" t="s">
        <v>3655</v>
      </c>
      <c r="F215" s="31" t="s">
        <v>3656</v>
      </c>
      <c r="G215" s="31" t="s">
        <v>3657</v>
      </c>
      <c r="H215" s="31" t="s">
        <v>3658</v>
      </c>
      <c r="I215" s="31">
        <v>1</v>
      </c>
      <c r="J215" s="31">
        <v>1</v>
      </c>
      <c r="K215" s="31" t="s">
        <v>3659</v>
      </c>
      <c r="L215" s="31" t="s">
        <v>569</v>
      </c>
      <c r="M215" s="31">
        <v>2013</v>
      </c>
      <c r="N215" s="33" t="str">
        <f>HYPERLINK("http://services.igi-global.com/resolvedoi/resolve.aspx?doi=10.4018/978-1-46662-660-7")</f>
        <v>http://services.igi-global.com/resolvedoi/resolve.aspx?doi=10.4018/978-1-46662-660-7</v>
      </c>
    </row>
    <row r="216" spans="1:14">
      <c r="A216" s="31">
        <v>215</v>
      </c>
      <c r="B216" s="31" t="s">
        <v>571</v>
      </c>
      <c r="C216" s="31" t="s">
        <v>1298</v>
      </c>
      <c r="D216" s="32" t="s">
        <v>2799</v>
      </c>
      <c r="E216" s="32" t="s">
        <v>3616</v>
      </c>
      <c r="F216" s="31" t="s">
        <v>3617</v>
      </c>
      <c r="G216" s="31" t="s">
        <v>3618</v>
      </c>
      <c r="H216" s="31" t="s">
        <v>3619</v>
      </c>
      <c r="I216" s="31">
        <v>1</v>
      </c>
      <c r="J216" s="31">
        <v>1</v>
      </c>
      <c r="K216" s="31" t="s">
        <v>3620</v>
      </c>
      <c r="L216" s="31" t="s">
        <v>569</v>
      </c>
      <c r="M216" s="31">
        <v>2013</v>
      </c>
      <c r="N216" s="33" t="str">
        <f>HYPERLINK("http://services.igi-global.com/resolvedoi/resolve.aspx?doi=10.4018/978-1-46662-833-5")</f>
        <v>http://services.igi-global.com/resolvedoi/resolve.aspx?doi=10.4018/978-1-46662-833-5</v>
      </c>
    </row>
    <row r="217" spans="1:14">
      <c r="A217" s="31">
        <v>216</v>
      </c>
      <c r="B217" s="31" t="s">
        <v>571</v>
      </c>
      <c r="C217" s="31" t="s">
        <v>1298</v>
      </c>
      <c r="D217" s="32" t="s">
        <v>3592</v>
      </c>
      <c r="E217" s="32" t="s">
        <v>3660</v>
      </c>
      <c r="F217" s="31" t="s">
        <v>3661</v>
      </c>
      <c r="G217" s="31" t="s">
        <v>3662</v>
      </c>
      <c r="H217" s="31" t="s">
        <v>3663</v>
      </c>
      <c r="I217" s="31">
        <v>1</v>
      </c>
      <c r="J217" s="31">
        <v>1</v>
      </c>
      <c r="K217" s="31" t="s">
        <v>1227</v>
      </c>
      <c r="L217" s="31" t="s">
        <v>569</v>
      </c>
      <c r="M217" s="31">
        <v>2013</v>
      </c>
      <c r="N217" s="33" t="str">
        <f>HYPERLINK("http://services.igi-global.com/resolvedoi/resolve.aspx?doi=10.4018/978-1-46662-157-2")</f>
        <v>http://services.igi-global.com/resolvedoi/resolve.aspx?doi=10.4018/978-1-46662-157-2</v>
      </c>
    </row>
    <row r="218" spans="1:14">
      <c r="A218" s="31">
        <v>217</v>
      </c>
      <c r="B218" s="31" t="s">
        <v>571</v>
      </c>
      <c r="C218" s="31" t="s">
        <v>1298</v>
      </c>
      <c r="D218" s="32" t="s">
        <v>3664</v>
      </c>
      <c r="E218" s="32" t="s">
        <v>3689</v>
      </c>
      <c r="F218" s="31" t="s">
        <v>3690</v>
      </c>
      <c r="G218" s="31" t="s">
        <v>3691</v>
      </c>
      <c r="H218" s="31" t="s">
        <v>3692</v>
      </c>
      <c r="I218" s="31">
        <v>1</v>
      </c>
      <c r="J218" s="31">
        <v>1</v>
      </c>
      <c r="K218" s="31" t="s">
        <v>3693</v>
      </c>
      <c r="L218" s="31" t="s">
        <v>569</v>
      </c>
      <c r="M218" s="31">
        <v>2013</v>
      </c>
      <c r="N218" s="33" t="str">
        <f>HYPERLINK("http://services.igi-global.com/resolvedoi/resolve.aspx?doi=10.4018/978-1-46662-026-1")</f>
        <v>http://services.igi-global.com/resolvedoi/resolve.aspx?doi=10.4018/978-1-46662-026-1</v>
      </c>
    </row>
    <row r="219" spans="1:14">
      <c r="A219" s="31">
        <v>218</v>
      </c>
      <c r="B219" s="31" t="s">
        <v>571</v>
      </c>
      <c r="C219" s="31" t="s">
        <v>1298</v>
      </c>
      <c r="D219" s="32" t="s">
        <v>1837</v>
      </c>
      <c r="E219" s="32" t="s">
        <v>3571</v>
      </c>
      <c r="F219" s="31" t="s">
        <v>3572</v>
      </c>
      <c r="G219" s="31" t="s">
        <v>3573</v>
      </c>
      <c r="H219" s="31" t="s">
        <v>3574</v>
      </c>
      <c r="I219" s="31">
        <v>1</v>
      </c>
      <c r="J219" s="31">
        <v>1</v>
      </c>
      <c r="K219" s="31" t="s">
        <v>3575</v>
      </c>
      <c r="L219" s="31" t="s">
        <v>569</v>
      </c>
      <c r="M219" s="31">
        <v>2013</v>
      </c>
      <c r="N219" s="33" t="str">
        <f>HYPERLINK("http://services.igi-global.com/resolvedoi/resolve.aspx?doi=10.4018/978-1-46662-494-8")</f>
        <v>http://services.igi-global.com/resolvedoi/resolve.aspx?doi=10.4018/978-1-46662-494-8</v>
      </c>
    </row>
    <row r="220" spans="1:14">
      <c r="A220" s="31">
        <v>219</v>
      </c>
      <c r="B220" s="31" t="s">
        <v>571</v>
      </c>
      <c r="C220" s="31" t="s">
        <v>1298</v>
      </c>
      <c r="D220" s="32" t="s">
        <v>3576</v>
      </c>
      <c r="E220" s="32" t="s">
        <v>3577</v>
      </c>
      <c r="F220" s="31" t="s">
        <v>3578</v>
      </c>
      <c r="G220" s="31" t="s">
        <v>3579</v>
      </c>
      <c r="H220" s="31" t="s">
        <v>3580</v>
      </c>
      <c r="I220" s="31">
        <v>1</v>
      </c>
      <c r="J220" s="31">
        <v>1</v>
      </c>
      <c r="K220" s="31" t="s">
        <v>3575</v>
      </c>
      <c r="L220" s="31" t="s">
        <v>569</v>
      </c>
      <c r="M220" s="31">
        <v>2013</v>
      </c>
      <c r="N220" s="33" t="str">
        <f>HYPERLINK("http://services.igi-global.com/resolvedoi/resolve.aspx?doi=10.4018/978-1-46662-827-4")</f>
        <v>http://services.igi-global.com/resolvedoi/resolve.aspx?doi=10.4018/978-1-46662-827-4</v>
      </c>
    </row>
    <row r="221" spans="1:14">
      <c r="A221" s="31">
        <v>220</v>
      </c>
      <c r="B221" s="31" t="s">
        <v>571</v>
      </c>
      <c r="C221" s="31" t="s">
        <v>1298</v>
      </c>
      <c r="D221" s="32" t="s">
        <v>3576</v>
      </c>
      <c r="E221" s="32" t="s">
        <v>3681</v>
      </c>
      <c r="F221" s="31" t="s">
        <v>3682</v>
      </c>
      <c r="G221" s="31" t="s">
        <v>3683</v>
      </c>
      <c r="H221" s="31" t="s">
        <v>3684</v>
      </c>
      <c r="I221" s="31">
        <v>1</v>
      </c>
      <c r="J221" s="31">
        <v>1</v>
      </c>
      <c r="K221" s="31" t="s">
        <v>303</v>
      </c>
      <c r="L221" s="31" t="s">
        <v>569</v>
      </c>
      <c r="M221" s="31">
        <v>2013</v>
      </c>
      <c r="N221" s="33" t="str">
        <f>HYPERLINK("http://services.igi-global.com/resolvedoi/resolve.aspx?doi=10.4018/978-1-46663-610-1")</f>
        <v>http://services.igi-global.com/resolvedoi/resolve.aspx?doi=10.4018/978-1-46663-610-1</v>
      </c>
    </row>
    <row r="222" spans="1:14">
      <c r="A222" s="31">
        <v>221</v>
      </c>
      <c r="B222" s="31" t="s">
        <v>571</v>
      </c>
      <c r="C222" s="31" t="s">
        <v>1298</v>
      </c>
      <c r="D222" s="32" t="s">
        <v>3562</v>
      </c>
      <c r="E222" s="32" t="s">
        <v>3563</v>
      </c>
      <c r="F222" s="31" t="s">
        <v>3564</v>
      </c>
      <c r="G222" s="31" t="s">
        <v>3565</v>
      </c>
      <c r="H222" s="31" t="s">
        <v>3566</v>
      </c>
      <c r="I222" s="31">
        <v>1</v>
      </c>
      <c r="J222" s="31">
        <v>1</v>
      </c>
      <c r="K222" s="31" t="s">
        <v>1451</v>
      </c>
      <c r="L222" s="31" t="s">
        <v>569</v>
      </c>
      <c r="M222" s="31">
        <v>2013</v>
      </c>
      <c r="N222" s="33" t="str">
        <f>HYPERLINK("http://services.igi-global.com/resolvedoi/resolve.aspx?doi=10.4018/978-1-46662-080-3")</f>
        <v>http://services.igi-global.com/resolvedoi/resolve.aspx?doi=10.4018/978-1-46662-080-3</v>
      </c>
    </row>
    <row r="223" spans="1:14">
      <c r="A223" s="31">
        <v>222</v>
      </c>
      <c r="B223" s="31" t="s">
        <v>571</v>
      </c>
      <c r="C223" s="31" t="s">
        <v>1298</v>
      </c>
      <c r="D223" s="32" t="s">
        <v>3664</v>
      </c>
      <c r="E223" s="32" t="s">
        <v>3665</v>
      </c>
      <c r="F223" s="31" t="s">
        <v>3666</v>
      </c>
      <c r="G223" s="31" t="s">
        <v>3667</v>
      </c>
      <c r="H223" s="31" t="s">
        <v>3668</v>
      </c>
      <c r="I223" s="31">
        <v>1</v>
      </c>
      <c r="J223" s="31">
        <v>1</v>
      </c>
      <c r="K223" s="31" t="s">
        <v>3669</v>
      </c>
      <c r="L223" s="31" t="s">
        <v>569</v>
      </c>
      <c r="M223" s="31">
        <v>2013</v>
      </c>
      <c r="N223" s="33" t="str">
        <f>HYPERLINK("http://services.igi-global.com/resolvedoi/resolve.aspx?doi=10.4018/978-1-46661-990-6")</f>
        <v>http://services.igi-global.com/resolvedoi/resolve.aspx?doi=10.4018/978-1-46661-990-6</v>
      </c>
    </row>
    <row r="224" spans="1:14">
      <c r="A224" s="31">
        <v>223</v>
      </c>
      <c r="B224" s="31" t="s">
        <v>571</v>
      </c>
      <c r="C224" s="31" t="s">
        <v>1298</v>
      </c>
      <c r="D224" s="32" t="s">
        <v>1686</v>
      </c>
      <c r="E224" s="32" t="s">
        <v>3558</v>
      </c>
      <c r="F224" s="31" t="s">
        <v>3559</v>
      </c>
      <c r="G224" s="31" t="s">
        <v>3560</v>
      </c>
      <c r="H224" s="31" t="s">
        <v>3561</v>
      </c>
      <c r="I224" s="31">
        <v>1</v>
      </c>
      <c r="J224" s="31">
        <v>1</v>
      </c>
      <c r="K224" s="31" t="s">
        <v>1581</v>
      </c>
      <c r="L224" s="31" t="s">
        <v>569</v>
      </c>
      <c r="M224" s="31">
        <v>2013</v>
      </c>
      <c r="N224" s="33" t="str">
        <f>HYPERLINK("http://services.igi-global.com/resolvedoi/resolve.aspx?doi=10.4018/978-1-46662-776-5")</f>
        <v>http://services.igi-global.com/resolvedoi/resolve.aspx?doi=10.4018/978-1-46662-776-5</v>
      </c>
    </row>
    <row r="225" spans="1:14">
      <c r="A225" s="31">
        <v>224</v>
      </c>
      <c r="B225" s="31" t="s">
        <v>571</v>
      </c>
      <c r="C225" s="31" t="s">
        <v>1282</v>
      </c>
      <c r="D225" s="32">
        <v>302.3</v>
      </c>
      <c r="E225" s="32" t="s">
        <v>3715</v>
      </c>
      <c r="F225" s="31" t="s">
        <v>3716</v>
      </c>
      <c r="G225" s="31" t="s">
        <v>3717</v>
      </c>
      <c r="H225" s="31" t="s">
        <v>3718</v>
      </c>
      <c r="I225" s="31">
        <v>1</v>
      </c>
      <c r="J225" s="31">
        <v>1</v>
      </c>
      <c r="K225" s="31" t="s">
        <v>3719</v>
      </c>
      <c r="L225" s="31" t="s">
        <v>569</v>
      </c>
      <c r="M225" s="31">
        <v>2013</v>
      </c>
      <c r="N225" s="33" t="str">
        <f>HYPERLINK("http://services.igi-global.com/resolvedoi/resolve.aspx?doi=10.4018/978-1-46663-926-3")</f>
        <v>http://services.igi-global.com/resolvedoi/resolve.aspx?doi=10.4018/978-1-46663-926-3</v>
      </c>
    </row>
    <row r="226" spans="1:14">
      <c r="A226" s="31">
        <v>225</v>
      </c>
      <c r="B226" s="31" t="s">
        <v>571</v>
      </c>
      <c r="C226" s="31" t="s">
        <v>1282</v>
      </c>
      <c r="D226" s="32" t="s">
        <v>3700</v>
      </c>
      <c r="E226" s="32" t="s">
        <v>3710</v>
      </c>
      <c r="F226" s="31" t="s">
        <v>3711</v>
      </c>
      <c r="G226" s="31" t="s">
        <v>3712</v>
      </c>
      <c r="H226" s="31" t="s">
        <v>3713</v>
      </c>
      <c r="I226" s="31">
        <v>1</v>
      </c>
      <c r="J226" s="31">
        <v>1</v>
      </c>
      <c r="K226" s="31" t="s">
        <v>3714</v>
      </c>
      <c r="L226" s="31" t="s">
        <v>569</v>
      </c>
      <c r="M226" s="31">
        <v>2013</v>
      </c>
      <c r="N226" s="33" t="str">
        <f>HYPERLINK("http://services.igi-global.com/resolvedoi/resolve.aspx?doi=10.4018/978-1-46662-125-1")</f>
        <v>http://services.igi-global.com/resolvedoi/resolve.aspx?doi=10.4018/978-1-46662-125-1</v>
      </c>
    </row>
    <row r="227" spans="1:14">
      <c r="A227" s="31">
        <v>226</v>
      </c>
      <c r="B227" s="31" t="s">
        <v>571</v>
      </c>
      <c r="C227" s="31" t="s">
        <v>1282</v>
      </c>
      <c r="D227" s="32" t="s">
        <v>3625</v>
      </c>
      <c r="E227" s="32" t="s">
        <v>3705</v>
      </c>
      <c r="F227" s="31" t="s">
        <v>3706</v>
      </c>
      <c r="G227" s="31" t="s">
        <v>3707</v>
      </c>
      <c r="H227" s="31" t="s">
        <v>3708</v>
      </c>
      <c r="I227" s="31">
        <v>1</v>
      </c>
      <c r="J227" s="31">
        <v>1</v>
      </c>
      <c r="K227" s="31" t="s">
        <v>3709</v>
      </c>
      <c r="L227" s="31" t="s">
        <v>569</v>
      </c>
      <c r="M227" s="31">
        <v>2009</v>
      </c>
      <c r="N227" s="33" t="str">
        <f>HYPERLINK("http://services.igi-global.com/resolvedoi/resolve.aspx?doi=10.4018/978-1-60566-220-6")</f>
        <v>http://services.igi-global.com/resolvedoi/resolve.aspx?doi=10.4018/978-1-60566-220-6</v>
      </c>
    </row>
    <row r="228" spans="1:14">
      <c r="A228" s="31">
        <v>227</v>
      </c>
      <c r="B228" s="31" t="s">
        <v>571</v>
      </c>
      <c r="C228" s="31" t="s">
        <v>1282</v>
      </c>
      <c r="D228" s="32" t="s">
        <v>3700</v>
      </c>
      <c r="E228" s="32" t="s">
        <v>3720</v>
      </c>
      <c r="F228" s="31" t="s">
        <v>3721</v>
      </c>
      <c r="G228" s="31" t="s">
        <v>3722</v>
      </c>
      <c r="H228" s="31" t="s">
        <v>3723</v>
      </c>
      <c r="I228" s="31">
        <v>1</v>
      </c>
      <c r="J228" s="31">
        <v>1</v>
      </c>
      <c r="K228" s="31" t="s">
        <v>3724</v>
      </c>
      <c r="L228" s="31" t="s">
        <v>569</v>
      </c>
      <c r="M228" s="35">
        <v>2013</v>
      </c>
      <c r="N228" s="33" t="str">
        <f>HYPERLINK("http://services.igi-global.com/resolvedoi/resolve.aspx?doi=10.4018/978-1-46664-030-6")</f>
        <v>http://services.igi-global.com/resolvedoi/resolve.aspx?doi=10.4018/978-1-46664-030-6</v>
      </c>
    </row>
    <row r="229" spans="1:14">
      <c r="A229" s="31">
        <v>228</v>
      </c>
      <c r="B229" s="31" t="s">
        <v>571</v>
      </c>
      <c r="C229" s="31" t="s">
        <v>1282</v>
      </c>
      <c r="D229" s="32" t="s">
        <v>3700</v>
      </c>
      <c r="E229" s="32" t="s">
        <v>3701</v>
      </c>
      <c r="F229" s="31" t="s">
        <v>3702</v>
      </c>
      <c r="G229" s="31" t="s">
        <v>3703</v>
      </c>
      <c r="H229" s="31" t="s">
        <v>3704</v>
      </c>
      <c r="I229" s="31">
        <v>1</v>
      </c>
      <c r="J229" s="31">
        <v>1</v>
      </c>
      <c r="K229" s="31" t="s">
        <v>1228</v>
      </c>
      <c r="L229" s="31" t="s">
        <v>569</v>
      </c>
      <c r="M229" s="31">
        <v>2013</v>
      </c>
      <c r="N229" s="33" t="str">
        <f>HYPERLINK("http://services.igi-global.com/resolvedoi/resolve.aspx?doi=10.4018/978-1-46662-050-6")</f>
        <v>http://services.igi-global.com/resolvedoi/resolve.aspx?doi=10.4018/978-1-46662-050-6</v>
      </c>
    </row>
    <row r="230" spans="1:14">
      <c r="A230" s="31">
        <v>229</v>
      </c>
      <c r="B230" s="31" t="s">
        <v>571</v>
      </c>
      <c r="C230" s="31" t="s">
        <v>1282</v>
      </c>
      <c r="D230" s="32" t="s">
        <v>3694</v>
      </c>
      <c r="E230" s="32" t="s">
        <v>3695</v>
      </c>
      <c r="F230" s="31" t="s">
        <v>3696</v>
      </c>
      <c r="G230" s="31" t="s">
        <v>3697</v>
      </c>
      <c r="H230" s="31" t="s">
        <v>3698</v>
      </c>
      <c r="I230" s="31">
        <v>1</v>
      </c>
      <c r="J230" s="31">
        <v>1</v>
      </c>
      <c r="K230" s="31" t="s">
        <v>3699</v>
      </c>
      <c r="L230" s="31" t="s">
        <v>569</v>
      </c>
      <c r="M230" s="31">
        <v>2013</v>
      </c>
      <c r="N230" s="33" t="str">
        <f>HYPERLINK("http://services.igi-global.com/resolvedoi/resolve.aspx?doi=10.4018/978-1-46663-685-9")</f>
        <v>http://services.igi-global.com/resolvedoi/resolve.aspx?doi=10.4018/978-1-46663-685-9</v>
      </c>
    </row>
    <row r="231" spans="1:14">
      <c r="A231" s="31">
        <v>230</v>
      </c>
      <c r="B231" s="31" t="s">
        <v>571</v>
      </c>
      <c r="C231" s="31" t="s">
        <v>1229</v>
      </c>
      <c r="D231" s="32" t="s">
        <v>3779</v>
      </c>
      <c r="E231" s="32" t="s">
        <v>3780</v>
      </c>
      <c r="F231" s="31" t="s">
        <v>3781</v>
      </c>
      <c r="G231" s="31" t="s">
        <v>3782</v>
      </c>
      <c r="H231" s="31" t="s">
        <v>3783</v>
      </c>
      <c r="I231" s="31">
        <v>1</v>
      </c>
      <c r="J231" s="31">
        <v>1</v>
      </c>
      <c r="K231" s="31" t="s">
        <v>3778</v>
      </c>
      <c r="L231" s="31" t="s">
        <v>569</v>
      </c>
      <c r="M231" s="31">
        <v>2013</v>
      </c>
      <c r="N231" s="33" t="str">
        <f>HYPERLINK("http://services.igi-global.com/resolvedoi/resolve.aspx?doi=10.4018/978-1-46661-858-9")</f>
        <v>http://services.igi-global.com/resolvedoi/resolve.aspx?doi=10.4018/978-1-46661-858-9</v>
      </c>
    </row>
    <row r="232" spans="1:14">
      <c r="A232" s="31">
        <v>231</v>
      </c>
      <c r="B232" s="31" t="s">
        <v>571</v>
      </c>
      <c r="C232" s="31" t="s">
        <v>1229</v>
      </c>
      <c r="D232" s="32" t="s">
        <v>3773</v>
      </c>
      <c r="E232" s="32" t="s">
        <v>3774</v>
      </c>
      <c r="F232" s="31" t="s">
        <v>3775</v>
      </c>
      <c r="G232" s="31" t="s">
        <v>3776</v>
      </c>
      <c r="H232" s="31" t="s">
        <v>3777</v>
      </c>
      <c r="I232" s="31">
        <v>1</v>
      </c>
      <c r="J232" s="31">
        <v>1</v>
      </c>
      <c r="K232" s="31" t="s">
        <v>3778</v>
      </c>
      <c r="L232" s="31" t="s">
        <v>569</v>
      </c>
      <c r="M232" s="31">
        <v>2013</v>
      </c>
      <c r="N232" s="33" t="str">
        <f>HYPERLINK("http://services.igi-global.com/resolvedoi/resolve.aspx?doi=10.4018/978-1-46661-966-1")</f>
        <v>http://services.igi-global.com/resolvedoi/resolve.aspx?doi=10.4018/978-1-46661-966-1</v>
      </c>
    </row>
    <row r="233" spans="1:14">
      <c r="A233" s="31">
        <v>232</v>
      </c>
      <c r="B233" s="31" t="s">
        <v>571</v>
      </c>
      <c r="C233" s="31" t="s">
        <v>1229</v>
      </c>
      <c r="D233" s="32" t="s">
        <v>2799</v>
      </c>
      <c r="E233" s="32" t="s">
        <v>3811</v>
      </c>
      <c r="F233" s="31" t="s">
        <v>3812</v>
      </c>
      <c r="G233" s="31" t="s">
        <v>3813</v>
      </c>
      <c r="H233" s="31" t="s">
        <v>3814</v>
      </c>
      <c r="I233" s="31">
        <v>1</v>
      </c>
      <c r="J233" s="31">
        <v>1</v>
      </c>
      <c r="K233" s="31" t="s">
        <v>3815</v>
      </c>
      <c r="L233" s="31" t="s">
        <v>569</v>
      </c>
      <c r="M233" s="31">
        <v>2011</v>
      </c>
      <c r="N233" s="33" t="str">
        <f>HYPERLINK("http://services.igi-global.com/resolvedoi/resolve.aspx?doi=10.4018/978-1-60960-044-0")</f>
        <v>http://services.igi-global.com/resolvedoi/resolve.aspx?doi=10.4018/978-1-60960-044-0</v>
      </c>
    </row>
    <row r="234" spans="1:14">
      <c r="A234" s="31">
        <v>233</v>
      </c>
      <c r="B234" s="31" t="s">
        <v>571</v>
      </c>
      <c r="C234" s="31" t="s">
        <v>1229</v>
      </c>
      <c r="D234" s="32" t="s">
        <v>3767</v>
      </c>
      <c r="E234" s="32" t="s">
        <v>3768</v>
      </c>
      <c r="F234" s="31" t="s">
        <v>3769</v>
      </c>
      <c r="G234" s="31" t="s">
        <v>3770</v>
      </c>
      <c r="H234" s="31" t="s">
        <v>3771</v>
      </c>
      <c r="I234" s="31">
        <v>1</v>
      </c>
      <c r="J234" s="31">
        <v>1</v>
      </c>
      <c r="K234" s="31" t="s">
        <v>3772</v>
      </c>
      <c r="L234" s="31" t="s">
        <v>569</v>
      </c>
      <c r="M234" s="31">
        <v>2010</v>
      </c>
      <c r="N234" s="33" t="str">
        <f>HYPERLINK("http://services.igi-global.com/resolvedoi/resolve.aspx?doi=10.4018/978-1-60566-826-0")</f>
        <v>http://services.igi-global.com/resolvedoi/resolve.aspx?doi=10.4018/978-1-60566-826-0</v>
      </c>
    </row>
    <row r="235" spans="1:14">
      <c r="A235" s="31">
        <v>234</v>
      </c>
      <c r="B235" s="31" t="s">
        <v>571</v>
      </c>
      <c r="C235" s="31" t="s">
        <v>1229</v>
      </c>
      <c r="D235" s="32" t="s">
        <v>3831</v>
      </c>
      <c r="E235" s="32" t="s">
        <v>3832</v>
      </c>
      <c r="F235" s="31" t="s">
        <v>3833</v>
      </c>
      <c r="G235" s="31" t="s">
        <v>3834</v>
      </c>
      <c r="H235" s="31" t="s">
        <v>3835</v>
      </c>
      <c r="I235" s="31">
        <v>1</v>
      </c>
      <c r="J235" s="31">
        <v>1</v>
      </c>
      <c r="K235" s="31" t="s">
        <v>3836</v>
      </c>
      <c r="L235" s="31" t="s">
        <v>568</v>
      </c>
      <c r="M235" s="31">
        <v>2011</v>
      </c>
      <c r="N235" s="33" t="str">
        <f>HYPERLINK("http://services.igi-global.com/resolvedoi/resolve.aspx?doi=10.4018/978-1-60960-535-3")</f>
        <v>http://services.igi-global.com/resolvedoi/resolve.aspx?doi=10.4018/978-1-60960-535-3</v>
      </c>
    </row>
    <row r="236" spans="1:14">
      <c r="A236" s="31">
        <v>235</v>
      </c>
      <c r="B236" s="31" t="s">
        <v>571</v>
      </c>
      <c r="C236" s="31" t="s">
        <v>1229</v>
      </c>
      <c r="D236" s="32" t="s">
        <v>3762</v>
      </c>
      <c r="E236" s="32" t="s">
        <v>3763</v>
      </c>
      <c r="F236" s="31" t="s">
        <v>3764</v>
      </c>
      <c r="G236" s="31" t="s">
        <v>3765</v>
      </c>
      <c r="H236" s="31" t="s">
        <v>3766</v>
      </c>
      <c r="I236" s="31">
        <v>1</v>
      </c>
      <c r="J236" s="31">
        <v>1</v>
      </c>
      <c r="K236" s="31" t="s">
        <v>636</v>
      </c>
      <c r="L236" s="31" t="s">
        <v>569</v>
      </c>
      <c r="M236" s="31">
        <v>2011</v>
      </c>
      <c r="N236" s="33" t="str">
        <f>HYPERLINK("http://services.igi-global.com/resolvedoi/resolve.aspx?doi=10.4018/978-1-60960-466-0")</f>
        <v>http://services.igi-global.com/resolvedoi/resolve.aspx?doi=10.4018/978-1-60960-466-0</v>
      </c>
    </row>
    <row r="237" spans="1:14">
      <c r="A237" s="31">
        <v>236</v>
      </c>
      <c r="B237" s="31" t="s">
        <v>571</v>
      </c>
      <c r="C237" s="31" t="s">
        <v>1229</v>
      </c>
      <c r="D237" s="32" t="s">
        <v>3805</v>
      </c>
      <c r="E237" s="32" t="s">
        <v>3806</v>
      </c>
      <c r="F237" s="31" t="s">
        <v>3807</v>
      </c>
      <c r="G237" s="31" t="s">
        <v>3808</v>
      </c>
      <c r="H237" s="31" t="s">
        <v>3809</v>
      </c>
      <c r="I237" s="31">
        <v>1</v>
      </c>
      <c r="J237" s="31">
        <v>1</v>
      </c>
      <c r="K237" s="31" t="s">
        <v>3810</v>
      </c>
      <c r="L237" s="31" t="s">
        <v>569</v>
      </c>
      <c r="M237" s="31">
        <v>2009</v>
      </c>
      <c r="N237" s="33" t="str">
        <f>HYPERLINK("http://services.igi-global.com/resolvedoi/resolve.aspx?doi=10.4018/978-1-60566-304-3")</f>
        <v>http://services.igi-global.com/resolvedoi/resolve.aspx?doi=10.4018/978-1-60566-304-3</v>
      </c>
    </row>
    <row r="238" spans="1:14">
      <c r="A238" s="31">
        <v>237</v>
      </c>
      <c r="B238" s="31" t="s">
        <v>571</v>
      </c>
      <c r="C238" s="31" t="s">
        <v>1229</v>
      </c>
      <c r="D238" s="32">
        <v>302.3</v>
      </c>
      <c r="E238" s="32" t="s">
        <v>3848</v>
      </c>
      <c r="F238" s="31" t="s">
        <v>3849</v>
      </c>
      <c r="G238" s="31" t="s">
        <v>3850</v>
      </c>
      <c r="H238" s="31" t="s">
        <v>3851</v>
      </c>
      <c r="I238" s="31">
        <v>1</v>
      </c>
      <c r="J238" s="31">
        <v>1</v>
      </c>
      <c r="K238" s="31" t="s">
        <v>3852</v>
      </c>
      <c r="L238" s="31" t="s">
        <v>569</v>
      </c>
      <c r="M238" s="31">
        <v>2013</v>
      </c>
      <c r="N238" s="33" t="str">
        <f>HYPERLINK("http://services.igi-global.com/resolvedoi/resolve.aspx?doi=10.4018/978-1-46664-022-1")</f>
        <v>http://services.igi-global.com/resolvedoi/resolve.aspx?doi=10.4018/978-1-46664-022-1</v>
      </c>
    </row>
    <row r="239" spans="1:14">
      <c r="A239" s="31">
        <v>238</v>
      </c>
      <c r="B239" s="31" t="s">
        <v>571</v>
      </c>
      <c r="C239" s="31" t="s">
        <v>1229</v>
      </c>
      <c r="D239" s="32" t="s">
        <v>3742</v>
      </c>
      <c r="E239" s="32" t="s">
        <v>3843</v>
      </c>
      <c r="F239" s="31" t="s">
        <v>3844</v>
      </c>
      <c r="G239" s="31" t="s">
        <v>3845</v>
      </c>
      <c r="H239" s="31" t="s">
        <v>3846</v>
      </c>
      <c r="I239" s="31">
        <v>1</v>
      </c>
      <c r="J239" s="31">
        <v>1</v>
      </c>
      <c r="K239" s="31" t="s">
        <v>3847</v>
      </c>
      <c r="L239" s="31" t="s">
        <v>569</v>
      </c>
      <c r="M239" s="31">
        <v>2013</v>
      </c>
      <c r="N239" s="33" t="str">
        <f>HYPERLINK("http://services.igi-global.com/resolvedoi/resolve.aspx?doi=10.4018/978-1-46662-806-9")</f>
        <v>http://services.igi-global.com/resolvedoi/resolve.aspx?doi=10.4018/978-1-46662-806-9</v>
      </c>
    </row>
    <row r="240" spans="1:14">
      <c r="A240" s="31">
        <v>239</v>
      </c>
      <c r="B240" s="31" t="s">
        <v>571</v>
      </c>
      <c r="C240" s="31" t="s">
        <v>1229</v>
      </c>
      <c r="D240" s="32">
        <v>302.30284999999998</v>
      </c>
      <c r="E240" s="32" t="s">
        <v>3853</v>
      </c>
      <c r="F240" s="31" t="s">
        <v>3854</v>
      </c>
      <c r="G240" s="31" t="s">
        <v>3855</v>
      </c>
      <c r="H240" s="31" t="s">
        <v>3856</v>
      </c>
      <c r="I240" s="31">
        <v>1</v>
      </c>
      <c r="J240" s="31">
        <v>1</v>
      </c>
      <c r="K240" s="31" t="s">
        <v>3857</v>
      </c>
      <c r="L240" s="31" t="s">
        <v>569</v>
      </c>
      <c r="M240" s="31">
        <v>2011</v>
      </c>
      <c r="N240" s="33" t="str">
        <f>HYPERLINK("http://services.igi-global.com/resolvedoi/resolve.aspx?doi=10.4018/978-1-60960-091-4")</f>
        <v>http://services.igi-global.com/resolvedoi/resolve.aspx?doi=10.4018/978-1-60960-091-4</v>
      </c>
    </row>
    <row r="241" spans="1:14">
      <c r="A241" s="31">
        <v>240</v>
      </c>
      <c r="B241" s="31" t="s">
        <v>571</v>
      </c>
      <c r="C241" s="31" t="s">
        <v>1229</v>
      </c>
      <c r="D241" s="32" t="s">
        <v>3816</v>
      </c>
      <c r="E241" s="32" t="s">
        <v>3817</v>
      </c>
      <c r="F241" s="31" t="s">
        <v>3818</v>
      </c>
      <c r="G241" s="31" t="s">
        <v>3819</v>
      </c>
      <c r="H241" s="31" t="s">
        <v>3820</v>
      </c>
      <c r="I241" s="31">
        <v>2</v>
      </c>
      <c r="J241" s="31">
        <v>1</v>
      </c>
      <c r="K241" s="31" t="s">
        <v>556</v>
      </c>
      <c r="L241" s="31" t="s">
        <v>569</v>
      </c>
      <c r="M241" s="31">
        <v>2013</v>
      </c>
      <c r="N241" s="33" t="str">
        <f>HYPERLINK("http://services.igi-global.com/resolvedoi/resolve.aspx?doi=10.4018/978-1-46662-211-1")</f>
        <v>http://services.igi-global.com/resolvedoi/resolve.aspx?doi=10.4018/978-1-46662-211-1</v>
      </c>
    </row>
    <row r="242" spans="1:14">
      <c r="A242" s="31">
        <v>241</v>
      </c>
      <c r="B242" s="31" t="s">
        <v>571</v>
      </c>
      <c r="C242" s="31" t="s">
        <v>1229</v>
      </c>
      <c r="D242" s="32" t="s">
        <v>508</v>
      </c>
      <c r="E242" s="32" t="s">
        <v>3731</v>
      </c>
      <c r="F242" s="31" t="s">
        <v>3732</v>
      </c>
      <c r="G242" s="31" t="s">
        <v>3733</v>
      </c>
      <c r="H242" s="31" t="s">
        <v>3734</v>
      </c>
      <c r="I242" s="31">
        <v>1</v>
      </c>
      <c r="J242" s="31">
        <v>1</v>
      </c>
      <c r="K242" s="31" t="s">
        <v>3735</v>
      </c>
      <c r="L242" s="31" t="s">
        <v>569</v>
      </c>
      <c r="M242" s="31">
        <v>2012</v>
      </c>
      <c r="N242" s="33" t="str">
        <f>HYPERLINK("http://services.igi-global.com/resolvedoi/resolve.aspx?doi=10.4018/978-1-60960-744-9")</f>
        <v>http://services.igi-global.com/resolvedoi/resolve.aspx?doi=10.4018/978-1-60960-744-9</v>
      </c>
    </row>
    <row r="243" spans="1:14">
      <c r="A243" s="31">
        <v>242</v>
      </c>
      <c r="B243" s="31" t="s">
        <v>571</v>
      </c>
      <c r="C243" s="31" t="s">
        <v>1229</v>
      </c>
      <c r="D243" s="32" t="s">
        <v>3742</v>
      </c>
      <c r="E243" s="32" t="s">
        <v>3757</v>
      </c>
      <c r="F243" s="31" t="s">
        <v>3758</v>
      </c>
      <c r="G243" s="31" t="s">
        <v>3759</v>
      </c>
      <c r="H243" s="31" t="s">
        <v>3760</v>
      </c>
      <c r="I243" s="31">
        <v>1</v>
      </c>
      <c r="J243" s="31">
        <v>1</v>
      </c>
      <c r="K243" s="31" t="s">
        <v>3761</v>
      </c>
      <c r="L243" s="31" t="s">
        <v>569</v>
      </c>
      <c r="M243" s="31">
        <v>2013</v>
      </c>
      <c r="N243" s="33" t="str">
        <f>HYPERLINK("http://services.igi-global.com/resolvedoi/resolve.aspx?doi=10.4018/978-1-46661-915-9")</f>
        <v>http://services.igi-global.com/resolvedoi/resolve.aspx?doi=10.4018/978-1-46661-915-9</v>
      </c>
    </row>
    <row r="244" spans="1:14">
      <c r="A244" s="31">
        <v>243</v>
      </c>
      <c r="B244" s="31" t="s">
        <v>571</v>
      </c>
      <c r="C244" s="31" t="s">
        <v>1229</v>
      </c>
      <c r="D244" s="32" t="s">
        <v>2059</v>
      </c>
      <c r="E244" s="32" t="s">
        <v>3795</v>
      </c>
      <c r="F244" s="31" t="s">
        <v>3796</v>
      </c>
      <c r="G244" s="31" t="s">
        <v>3797</v>
      </c>
      <c r="H244" s="31" t="s">
        <v>3798</v>
      </c>
      <c r="I244" s="31">
        <v>1</v>
      </c>
      <c r="J244" s="31">
        <v>1</v>
      </c>
      <c r="K244" s="31" t="s">
        <v>3799</v>
      </c>
      <c r="L244" s="31" t="s">
        <v>569</v>
      </c>
      <c r="M244" s="31">
        <v>2012</v>
      </c>
      <c r="N244" s="33" t="str">
        <f>HYPERLINK("http://services.igi-global.com/resolvedoi/resolve.aspx?doi=10.4018/978-1-46660-020-1")</f>
        <v>http://services.igi-global.com/resolvedoi/resolve.aspx?doi=10.4018/978-1-46660-020-1</v>
      </c>
    </row>
    <row r="245" spans="1:14">
      <c r="A245" s="31">
        <v>244</v>
      </c>
      <c r="B245" s="31" t="s">
        <v>571</v>
      </c>
      <c r="C245" s="31" t="s">
        <v>1229</v>
      </c>
      <c r="D245" s="32" t="s">
        <v>3821</v>
      </c>
      <c r="E245" s="32" t="s">
        <v>3822</v>
      </c>
      <c r="F245" s="31" t="s">
        <v>3823</v>
      </c>
      <c r="G245" s="31" t="s">
        <v>3824</v>
      </c>
      <c r="H245" s="31" t="s">
        <v>3825</v>
      </c>
      <c r="I245" s="31">
        <v>1</v>
      </c>
      <c r="J245" s="31">
        <v>1</v>
      </c>
      <c r="K245" s="31" t="s">
        <v>3826</v>
      </c>
      <c r="L245" s="31" t="s">
        <v>569</v>
      </c>
      <c r="M245" s="31">
        <v>2011</v>
      </c>
      <c r="N245" s="33" t="str">
        <f>HYPERLINK("http://services.igi-global.com/resolvedoi/resolve.aspx?doi=10.4018/978-1-60960-057-0")</f>
        <v>http://services.igi-global.com/resolvedoi/resolve.aspx?doi=10.4018/978-1-60960-057-0</v>
      </c>
    </row>
    <row r="246" spans="1:14">
      <c r="A246" s="31">
        <v>245</v>
      </c>
      <c r="B246" s="31" t="s">
        <v>571</v>
      </c>
      <c r="C246" s="31" t="s">
        <v>1229</v>
      </c>
      <c r="D246" s="32" t="s">
        <v>3725</v>
      </c>
      <c r="E246" s="32" t="s">
        <v>3726</v>
      </c>
      <c r="F246" s="31" t="s">
        <v>3727</v>
      </c>
      <c r="G246" s="31" t="s">
        <v>3728</v>
      </c>
      <c r="H246" s="31" t="s">
        <v>3729</v>
      </c>
      <c r="I246" s="31">
        <v>1</v>
      </c>
      <c r="J246" s="31">
        <v>1</v>
      </c>
      <c r="K246" s="31" t="s">
        <v>3730</v>
      </c>
      <c r="L246" s="31" t="s">
        <v>569</v>
      </c>
      <c r="M246" s="31">
        <v>2010</v>
      </c>
      <c r="N246" s="33" t="str">
        <f>HYPERLINK("http://services.igi-global.com/resolvedoi/resolve.aspx?doi=10.4018/978-1-60566-926-7")</f>
        <v>http://services.igi-global.com/resolvedoi/resolve.aspx?doi=10.4018/978-1-60566-926-7</v>
      </c>
    </row>
    <row r="247" spans="1:14">
      <c r="A247" s="31">
        <v>246</v>
      </c>
      <c r="B247" s="31" t="s">
        <v>571</v>
      </c>
      <c r="C247" s="31" t="s">
        <v>1229</v>
      </c>
      <c r="D247" s="32">
        <v>371.33</v>
      </c>
      <c r="E247" s="32" t="s">
        <v>3858</v>
      </c>
      <c r="F247" s="31" t="s">
        <v>3859</v>
      </c>
      <c r="G247" s="31" t="s">
        <v>3860</v>
      </c>
      <c r="H247" s="31" t="s">
        <v>3861</v>
      </c>
      <c r="I247" s="31">
        <v>1</v>
      </c>
      <c r="J247" s="31">
        <v>1</v>
      </c>
      <c r="K247" s="31" t="s">
        <v>3862</v>
      </c>
      <c r="L247" s="31" t="s">
        <v>569</v>
      </c>
      <c r="M247" s="31">
        <v>2013</v>
      </c>
      <c r="N247" s="33" t="str">
        <f>HYPERLINK("http://services.igi-global.com/resolvedoi/resolve.aspx?doi=10.4018/978-1-46662-656-0")</f>
        <v>http://services.igi-global.com/resolvedoi/resolve.aspx?doi=10.4018/978-1-46662-656-0</v>
      </c>
    </row>
    <row r="248" spans="1:14">
      <c r="A248" s="31">
        <v>247</v>
      </c>
      <c r="B248" s="31" t="s">
        <v>571</v>
      </c>
      <c r="C248" s="31" t="s">
        <v>1229</v>
      </c>
      <c r="D248" s="32" t="s">
        <v>3002</v>
      </c>
      <c r="E248" s="32" t="s">
        <v>3869</v>
      </c>
      <c r="F248" s="31" t="s">
        <v>3870</v>
      </c>
      <c r="G248" s="31" t="s">
        <v>3871</v>
      </c>
      <c r="H248" s="31" t="s">
        <v>3872</v>
      </c>
      <c r="I248" s="31">
        <v>1</v>
      </c>
      <c r="J248" s="31">
        <v>1</v>
      </c>
      <c r="K248" s="31" t="s">
        <v>3873</v>
      </c>
      <c r="L248" s="31" t="s">
        <v>569</v>
      </c>
      <c r="M248" s="31">
        <v>2012</v>
      </c>
      <c r="N248" s="33" t="str">
        <f>HYPERLINK("http://services.igi-global.com/resolvedoi/resolve.aspx?doi=10.4018/978-1-46661-815-2")</f>
        <v>http://services.igi-global.com/resolvedoi/resolve.aspx?doi=10.4018/978-1-46661-815-2</v>
      </c>
    </row>
    <row r="249" spans="1:14">
      <c r="A249" s="31">
        <v>248</v>
      </c>
      <c r="B249" s="31" t="s">
        <v>571</v>
      </c>
      <c r="C249" s="31" t="s">
        <v>1229</v>
      </c>
      <c r="D249" s="32" t="s">
        <v>1879</v>
      </c>
      <c r="E249" s="32" t="s">
        <v>3800</v>
      </c>
      <c r="F249" s="31" t="s">
        <v>3801</v>
      </c>
      <c r="G249" s="31" t="s">
        <v>3802</v>
      </c>
      <c r="H249" s="31" t="s">
        <v>3803</v>
      </c>
      <c r="I249" s="31">
        <v>2</v>
      </c>
      <c r="J249" s="31">
        <v>1</v>
      </c>
      <c r="K249" s="31" t="s">
        <v>3804</v>
      </c>
      <c r="L249" s="31" t="s">
        <v>569</v>
      </c>
      <c r="M249" s="31">
        <v>2010</v>
      </c>
      <c r="N249" s="33" t="str">
        <f>HYPERLINK("http://services.igi-global.com/resolvedoi/resolve.aspx?doi=10.4018/978-1-61520-773-2")</f>
        <v>http://services.igi-global.com/resolvedoi/resolve.aspx?doi=10.4018/978-1-61520-773-2</v>
      </c>
    </row>
    <row r="250" spans="1:14">
      <c r="A250" s="31">
        <v>249</v>
      </c>
      <c r="B250" s="31" t="s">
        <v>571</v>
      </c>
      <c r="C250" s="31" t="s">
        <v>1229</v>
      </c>
      <c r="D250" s="32" t="s">
        <v>3430</v>
      </c>
      <c r="E250" s="32" t="s">
        <v>3753</v>
      </c>
      <c r="F250" s="31" t="s">
        <v>3754</v>
      </c>
      <c r="G250" s="31" t="s">
        <v>3755</v>
      </c>
      <c r="H250" s="31" t="s">
        <v>3756</v>
      </c>
      <c r="I250" s="31">
        <v>1</v>
      </c>
      <c r="J250" s="31">
        <v>1</v>
      </c>
      <c r="K250" s="31" t="s">
        <v>320</v>
      </c>
      <c r="L250" s="31" t="s">
        <v>569</v>
      </c>
      <c r="M250" s="31">
        <v>2013</v>
      </c>
      <c r="N250" s="33" t="str">
        <f>HYPERLINK("http://services.igi-global.com/resolvedoi/resolve.aspx?doi=10.4018/978-1-46662-068-1")</f>
        <v>http://services.igi-global.com/resolvedoi/resolve.aspx?doi=10.4018/978-1-46662-068-1</v>
      </c>
    </row>
    <row r="251" spans="1:14">
      <c r="A251" s="31">
        <v>250</v>
      </c>
      <c r="B251" s="31" t="s">
        <v>571</v>
      </c>
      <c r="C251" s="31" t="s">
        <v>1229</v>
      </c>
      <c r="D251" s="32" t="s">
        <v>3837</v>
      </c>
      <c r="E251" s="32" t="s">
        <v>3838</v>
      </c>
      <c r="F251" s="31" t="s">
        <v>3839</v>
      </c>
      <c r="G251" s="31" t="s">
        <v>3840</v>
      </c>
      <c r="H251" s="31" t="s">
        <v>3841</v>
      </c>
      <c r="I251" s="31">
        <v>1</v>
      </c>
      <c r="J251" s="31">
        <v>1</v>
      </c>
      <c r="K251" s="31" t="s">
        <v>3842</v>
      </c>
      <c r="L251" s="31" t="s">
        <v>569</v>
      </c>
      <c r="M251" s="31">
        <v>2010</v>
      </c>
      <c r="N251" s="33" t="str">
        <f>HYPERLINK("http://services.igi-global.com/resolvedoi/resolve.aspx?doi=10.4018/978-1-60566-822-2")</f>
        <v>http://services.igi-global.com/resolvedoi/resolve.aspx?doi=10.4018/978-1-60566-822-2</v>
      </c>
    </row>
    <row r="252" spans="1:14">
      <c r="A252" s="31">
        <v>251</v>
      </c>
      <c r="B252" s="31" t="s">
        <v>571</v>
      </c>
      <c r="C252" s="31" t="s">
        <v>1229</v>
      </c>
      <c r="D252" s="32" t="s">
        <v>3736</v>
      </c>
      <c r="E252" s="32" t="s">
        <v>3737</v>
      </c>
      <c r="F252" s="31" t="s">
        <v>3738</v>
      </c>
      <c r="G252" s="31" t="s">
        <v>3739</v>
      </c>
      <c r="H252" s="31" t="s">
        <v>3740</v>
      </c>
      <c r="I252" s="31">
        <v>1</v>
      </c>
      <c r="J252" s="31">
        <v>1</v>
      </c>
      <c r="K252" s="31" t="s">
        <v>3741</v>
      </c>
      <c r="L252" s="31" t="s">
        <v>569</v>
      </c>
      <c r="M252" s="31">
        <v>2013</v>
      </c>
      <c r="N252" s="33" t="str">
        <f>HYPERLINK("http://services.igi-global.com/resolvedoi/resolve.aspx?doi=10.4018/978-1-46664-046-7")</f>
        <v>http://services.igi-global.com/resolvedoi/resolve.aspx?doi=10.4018/978-1-46664-046-7</v>
      </c>
    </row>
    <row r="253" spans="1:14">
      <c r="A253" s="31">
        <v>252</v>
      </c>
      <c r="B253" s="31" t="s">
        <v>571</v>
      </c>
      <c r="C253" s="31" t="s">
        <v>1229</v>
      </c>
      <c r="D253" s="32" t="s">
        <v>508</v>
      </c>
      <c r="E253" s="32" t="s">
        <v>3784</v>
      </c>
      <c r="F253" s="31" t="s">
        <v>3785</v>
      </c>
      <c r="G253" s="31" t="s">
        <v>3786</v>
      </c>
      <c r="H253" s="31" t="s">
        <v>3787</v>
      </c>
      <c r="I253" s="31">
        <v>1</v>
      </c>
      <c r="J253" s="31">
        <v>1</v>
      </c>
      <c r="K253" s="31" t="s">
        <v>3788</v>
      </c>
      <c r="L253" s="31" t="s">
        <v>569</v>
      </c>
      <c r="M253" s="31">
        <v>2012</v>
      </c>
      <c r="N253" s="33" t="str">
        <f>HYPERLINK("http://services.igi-global.com/resolvedoi/resolve.aspx?doi=10.4018/978-1-60960-759-3")</f>
        <v>http://services.igi-global.com/resolvedoi/resolve.aspx?doi=10.4018/978-1-60960-759-3</v>
      </c>
    </row>
    <row r="254" spans="1:14">
      <c r="A254" s="31">
        <v>253</v>
      </c>
      <c r="B254" s="31" t="s">
        <v>571</v>
      </c>
      <c r="C254" s="31" t="s">
        <v>1229</v>
      </c>
      <c r="D254" s="32" t="s">
        <v>3789</v>
      </c>
      <c r="E254" s="32" t="s">
        <v>3790</v>
      </c>
      <c r="F254" s="31" t="s">
        <v>3791</v>
      </c>
      <c r="G254" s="31" t="s">
        <v>3792</v>
      </c>
      <c r="H254" s="31" t="s">
        <v>3793</v>
      </c>
      <c r="I254" s="31">
        <v>1</v>
      </c>
      <c r="J254" s="31">
        <v>1</v>
      </c>
      <c r="K254" s="31" t="s">
        <v>3794</v>
      </c>
      <c r="L254" s="31" t="s">
        <v>569</v>
      </c>
      <c r="M254" s="31">
        <v>2010</v>
      </c>
      <c r="N254" s="33" t="str">
        <f>HYPERLINK("http://services.igi-global.com/resolvedoi/resolve.aspx?doi=10.4018/978-1-61520-813-5")</f>
        <v>http://services.igi-global.com/resolvedoi/resolve.aspx?doi=10.4018/978-1-61520-813-5</v>
      </c>
    </row>
    <row r="255" spans="1:14">
      <c r="A255" s="31">
        <v>254</v>
      </c>
      <c r="B255" s="31" t="s">
        <v>571</v>
      </c>
      <c r="C255" s="31" t="s">
        <v>1229</v>
      </c>
      <c r="D255" s="32" t="s">
        <v>2059</v>
      </c>
      <c r="E255" s="32" t="s">
        <v>3827</v>
      </c>
      <c r="F255" s="31" t="s">
        <v>3828</v>
      </c>
      <c r="G255" s="31" t="s">
        <v>3829</v>
      </c>
      <c r="H255" s="31" t="s">
        <v>3830</v>
      </c>
      <c r="I255" s="31">
        <v>1</v>
      </c>
      <c r="J255" s="31">
        <v>1</v>
      </c>
      <c r="K255" s="31" t="s">
        <v>547</v>
      </c>
      <c r="L255" s="31" t="s">
        <v>569</v>
      </c>
      <c r="M255" s="31">
        <v>2013</v>
      </c>
      <c r="N255" s="33" t="str">
        <f>HYPERLINK("http://services.igi-global.com/resolvedoi/resolve.aspx?doi=10.4018/978-1-46662-922-6")</f>
        <v>http://services.igi-global.com/resolvedoi/resolve.aspx?doi=10.4018/978-1-46662-922-6</v>
      </c>
    </row>
    <row r="256" spans="1:14">
      <c r="A256" s="31">
        <v>255</v>
      </c>
      <c r="B256" s="31" t="s">
        <v>571</v>
      </c>
      <c r="C256" s="31" t="s">
        <v>1229</v>
      </c>
      <c r="D256" s="32" t="s">
        <v>3863</v>
      </c>
      <c r="E256" s="32" t="s">
        <v>3864</v>
      </c>
      <c r="F256" s="31" t="s">
        <v>3865</v>
      </c>
      <c r="G256" s="31" t="s">
        <v>3866</v>
      </c>
      <c r="H256" s="31" t="s">
        <v>3867</v>
      </c>
      <c r="I256" s="31">
        <v>1</v>
      </c>
      <c r="J256" s="31">
        <v>1</v>
      </c>
      <c r="K256" s="31" t="s">
        <v>3868</v>
      </c>
      <c r="L256" s="31" t="s">
        <v>569</v>
      </c>
      <c r="M256" s="31">
        <v>2012</v>
      </c>
      <c r="N256" s="33" t="str">
        <f>HYPERLINK("http://services.igi-global.com/resolvedoi/resolve.aspx?doi=10.4018/978-1-46660-312-7")</f>
        <v>http://services.igi-global.com/resolvedoi/resolve.aspx?doi=10.4018/978-1-46660-312-7</v>
      </c>
    </row>
    <row r="257" spans="1:14">
      <c r="A257" s="31">
        <v>256</v>
      </c>
      <c r="B257" s="31" t="s">
        <v>571</v>
      </c>
      <c r="C257" s="31" t="s">
        <v>1229</v>
      </c>
      <c r="D257" s="32" t="s">
        <v>3742</v>
      </c>
      <c r="E257" s="32" t="s">
        <v>3743</v>
      </c>
      <c r="F257" s="31" t="s">
        <v>3744</v>
      </c>
      <c r="G257" s="31" t="s">
        <v>3745</v>
      </c>
      <c r="H257" s="31" t="s">
        <v>3746</v>
      </c>
      <c r="I257" s="31">
        <v>1</v>
      </c>
      <c r="J257" s="31">
        <v>1</v>
      </c>
      <c r="K257" s="31" t="s">
        <v>3747</v>
      </c>
      <c r="L257" s="31" t="s">
        <v>569</v>
      </c>
      <c r="M257" s="31">
        <v>2013</v>
      </c>
      <c r="N257" s="33" t="str">
        <f>HYPERLINK("http://services.igi-global.com/resolvedoi/resolve.aspx?doi=10.4018/978-1-46662-515-0")</f>
        <v>http://services.igi-global.com/resolvedoi/resolve.aspx?doi=10.4018/978-1-46662-515-0</v>
      </c>
    </row>
    <row r="258" spans="1:14">
      <c r="A258" s="31">
        <v>257</v>
      </c>
      <c r="B258" s="31" t="s">
        <v>571</v>
      </c>
      <c r="C258" s="31" t="s">
        <v>1229</v>
      </c>
      <c r="D258" s="32" t="s">
        <v>2783</v>
      </c>
      <c r="E258" s="32" t="s">
        <v>3748</v>
      </c>
      <c r="F258" s="31" t="s">
        <v>3749</v>
      </c>
      <c r="G258" s="31" t="s">
        <v>3750</v>
      </c>
      <c r="H258" s="31" t="s">
        <v>3751</v>
      </c>
      <c r="I258" s="31">
        <v>1</v>
      </c>
      <c r="J258" s="31">
        <v>1</v>
      </c>
      <c r="K258" s="31" t="s">
        <v>3752</v>
      </c>
      <c r="L258" s="31" t="s">
        <v>569</v>
      </c>
      <c r="M258" s="31">
        <v>2010</v>
      </c>
      <c r="N258" s="33" t="str">
        <f>HYPERLINK("http://services.igi-global.com/resolvedoi/resolve.aspx?doi=10.4018/978-1-61520-797-8")</f>
        <v>http://services.igi-global.com/resolvedoi/resolve.aspx?doi=10.4018/978-1-61520-797-8</v>
      </c>
    </row>
    <row r="259" spans="1:14">
      <c r="A259" s="31">
        <v>258</v>
      </c>
      <c r="B259" s="31" t="s">
        <v>571</v>
      </c>
      <c r="C259" s="31" t="s">
        <v>1271</v>
      </c>
      <c r="D259" s="32" t="s">
        <v>3931</v>
      </c>
      <c r="E259" s="32" t="s">
        <v>3932</v>
      </c>
      <c r="F259" s="31" t="s">
        <v>3933</v>
      </c>
      <c r="G259" s="31" t="s">
        <v>3934</v>
      </c>
      <c r="H259" s="31" t="s">
        <v>3935</v>
      </c>
      <c r="I259" s="31">
        <v>1</v>
      </c>
      <c r="J259" s="31">
        <v>1</v>
      </c>
      <c r="K259" s="31" t="s">
        <v>3936</v>
      </c>
      <c r="L259" s="31" t="s">
        <v>569</v>
      </c>
      <c r="M259" s="31">
        <v>2013</v>
      </c>
      <c r="N259" s="33" t="str">
        <f>HYPERLINK("http://services.igi-global.com/resolvedoi/resolve.aspx?doi=10.4018/978-1-46661-978-4")</f>
        <v>http://services.igi-global.com/resolvedoi/resolve.aspx?doi=10.4018/978-1-46661-978-4</v>
      </c>
    </row>
    <row r="260" spans="1:14">
      <c r="A260" s="31">
        <v>259</v>
      </c>
      <c r="B260" s="31" t="s">
        <v>571</v>
      </c>
      <c r="C260" s="31" t="s">
        <v>1271</v>
      </c>
      <c r="D260" s="32">
        <v>371.33</v>
      </c>
      <c r="E260" s="32" t="s">
        <v>3959</v>
      </c>
      <c r="F260" s="31" t="s">
        <v>3960</v>
      </c>
      <c r="G260" s="31" t="s">
        <v>3961</v>
      </c>
      <c r="H260" s="31" t="s">
        <v>3962</v>
      </c>
      <c r="I260" s="31">
        <v>1</v>
      </c>
      <c r="J260" s="31">
        <v>1</v>
      </c>
      <c r="K260" s="31" t="s">
        <v>1069</v>
      </c>
      <c r="L260" s="31" t="s">
        <v>569</v>
      </c>
      <c r="M260" s="31">
        <v>2013</v>
      </c>
      <c r="N260" s="33" t="str">
        <f>HYPERLINK("http://services.igi-global.com/resolvedoi/resolve.aspx?doi=10.4018/978-1-46662-205-0")</f>
        <v>http://services.igi-global.com/resolvedoi/resolve.aspx?doi=10.4018/978-1-46662-205-0</v>
      </c>
    </row>
    <row r="261" spans="1:14">
      <c r="A261" s="31">
        <v>260</v>
      </c>
      <c r="B261" s="31" t="s">
        <v>571</v>
      </c>
      <c r="C261" s="31" t="s">
        <v>1271</v>
      </c>
      <c r="D261" s="32" t="s">
        <v>1793</v>
      </c>
      <c r="E261" s="32" t="s">
        <v>3963</v>
      </c>
      <c r="F261" s="31" t="s">
        <v>3964</v>
      </c>
      <c r="G261" s="31" t="s">
        <v>3965</v>
      </c>
      <c r="H261" s="31" t="s">
        <v>3966</v>
      </c>
      <c r="I261" s="31">
        <v>1</v>
      </c>
      <c r="J261" s="31">
        <v>1</v>
      </c>
      <c r="K261" s="31" t="s">
        <v>3967</v>
      </c>
      <c r="L261" s="31" t="s">
        <v>569</v>
      </c>
      <c r="M261" s="31">
        <v>2013</v>
      </c>
      <c r="N261" s="33" t="str">
        <f>HYPERLINK("http://services.igi-global.com/resolvedoi/resolve.aspx?doi=10.4018/978-1-46662-536-5")</f>
        <v>http://services.igi-global.com/resolvedoi/resolve.aspx?doi=10.4018/978-1-46662-536-5</v>
      </c>
    </row>
    <row r="262" spans="1:14">
      <c r="A262" s="31">
        <v>261</v>
      </c>
      <c r="B262" s="31" t="s">
        <v>571</v>
      </c>
      <c r="C262" s="31" t="s">
        <v>1271</v>
      </c>
      <c r="D262" s="32" t="s">
        <v>2603</v>
      </c>
      <c r="E262" s="32" t="s">
        <v>3896</v>
      </c>
      <c r="F262" s="31" t="s">
        <v>3897</v>
      </c>
      <c r="G262" s="31" t="s">
        <v>3898</v>
      </c>
      <c r="H262" s="31" t="s">
        <v>3899</v>
      </c>
      <c r="I262" s="31">
        <v>1</v>
      </c>
      <c r="J262" s="31">
        <v>1</v>
      </c>
      <c r="K262" s="31" t="s">
        <v>3900</v>
      </c>
      <c r="L262" s="31" t="s">
        <v>569</v>
      </c>
      <c r="M262" s="31">
        <v>2013</v>
      </c>
      <c r="N262" s="33" t="str">
        <f>HYPERLINK("http://services.igi-global.com/resolvedoi/resolve.aspx?doi=10.4018/978-1-46661-879-4")</f>
        <v>http://services.igi-global.com/resolvedoi/resolve.aspx?doi=10.4018/978-1-46661-879-4</v>
      </c>
    </row>
    <row r="263" spans="1:14">
      <c r="A263" s="31">
        <v>262</v>
      </c>
      <c r="B263" s="31" t="s">
        <v>571</v>
      </c>
      <c r="C263" s="31" t="s">
        <v>1271</v>
      </c>
      <c r="D263" s="32" t="s">
        <v>3886</v>
      </c>
      <c r="E263" s="32" t="s">
        <v>3887</v>
      </c>
      <c r="F263" s="31" t="s">
        <v>3888</v>
      </c>
      <c r="G263" s="31" t="s">
        <v>3889</v>
      </c>
      <c r="H263" s="31" t="s">
        <v>3890</v>
      </c>
      <c r="I263" s="31">
        <v>1</v>
      </c>
      <c r="J263" s="31">
        <v>1</v>
      </c>
      <c r="K263" s="31" t="s">
        <v>3891</v>
      </c>
      <c r="L263" s="31" t="s">
        <v>569</v>
      </c>
      <c r="M263" s="31">
        <v>2013</v>
      </c>
      <c r="N263" s="33" t="str">
        <f>HYPERLINK("http://services.igi-global.com/resolvedoi/resolve.aspx?doi=10.4018/978-1-46662-503-7")</f>
        <v>http://services.igi-global.com/resolvedoi/resolve.aspx?doi=10.4018/978-1-46662-503-7</v>
      </c>
    </row>
    <row r="264" spans="1:14">
      <c r="A264" s="31">
        <v>263</v>
      </c>
      <c r="B264" s="31" t="s">
        <v>571</v>
      </c>
      <c r="C264" s="31" t="s">
        <v>1271</v>
      </c>
      <c r="D264" s="32" t="s">
        <v>2603</v>
      </c>
      <c r="E264" s="32" t="s">
        <v>3892</v>
      </c>
      <c r="F264" s="31" t="s">
        <v>3893</v>
      </c>
      <c r="G264" s="31" t="s">
        <v>3894</v>
      </c>
      <c r="H264" s="31" t="s">
        <v>3895</v>
      </c>
      <c r="I264" s="31">
        <v>1</v>
      </c>
      <c r="J264" s="31">
        <v>1</v>
      </c>
      <c r="K264" s="31" t="s">
        <v>535</v>
      </c>
      <c r="L264" s="31" t="s">
        <v>569</v>
      </c>
      <c r="M264" s="31">
        <v>2013</v>
      </c>
      <c r="N264" s="33" t="str">
        <f>HYPERLINK("http://services.igi-global.com/resolvedoi/resolve.aspx?doi=10.4018/978-1-46662-065-0")</f>
        <v>http://services.igi-global.com/resolvedoi/resolve.aspx?doi=10.4018/978-1-46662-065-0</v>
      </c>
    </row>
    <row r="265" spans="1:14">
      <c r="A265" s="31">
        <v>264</v>
      </c>
      <c r="B265" s="31" t="s">
        <v>571</v>
      </c>
      <c r="C265" s="31" t="s">
        <v>1271</v>
      </c>
      <c r="D265" s="32" t="s">
        <v>3901</v>
      </c>
      <c r="E265" s="32" t="s">
        <v>3902</v>
      </c>
      <c r="F265" s="31" t="s">
        <v>3903</v>
      </c>
      <c r="G265" s="31" t="s">
        <v>3904</v>
      </c>
      <c r="H265" s="31" t="s">
        <v>3905</v>
      </c>
      <c r="I265" s="31">
        <v>1</v>
      </c>
      <c r="J265" s="31">
        <v>1</v>
      </c>
      <c r="K265" s="31" t="s">
        <v>1570</v>
      </c>
      <c r="L265" s="31" t="s">
        <v>569</v>
      </c>
      <c r="M265" s="31">
        <v>2013</v>
      </c>
      <c r="N265" s="33" t="str">
        <f>HYPERLINK("http://services.igi-global.com/resolvedoi/resolve.aspx?doi=10.4018/978-1-46662-647-8")</f>
        <v>http://services.igi-global.com/resolvedoi/resolve.aspx?doi=10.4018/978-1-46662-647-8</v>
      </c>
    </row>
    <row r="266" spans="1:14">
      <c r="A266" s="31">
        <v>265</v>
      </c>
      <c r="B266" s="31" t="s">
        <v>571</v>
      </c>
      <c r="C266" s="31" t="s">
        <v>1271</v>
      </c>
      <c r="D266" s="32" t="s">
        <v>3901</v>
      </c>
      <c r="E266" s="32" t="s">
        <v>3906</v>
      </c>
      <c r="F266" s="31" t="s">
        <v>3907</v>
      </c>
      <c r="G266" s="31" t="s">
        <v>3908</v>
      </c>
      <c r="H266" s="31" t="s">
        <v>3909</v>
      </c>
      <c r="I266" s="31">
        <v>1</v>
      </c>
      <c r="J266" s="31">
        <v>1</v>
      </c>
      <c r="K266" s="31" t="s">
        <v>3910</v>
      </c>
      <c r="L266" s="31" t="s">
        <v>569</v>
      </c>
      <c r="M266" s="31">
        <v>2013</v>
      </c>
      <c r="N266" s="33" t="str">
        <f>HYPERLINK("http://services.igi-global.com/resolvedoi/resolve.aspx?doi=10.4018/978-1-46662-533-4")</f>
        <v>http://services.igi-global.com/resolvedoi/resolve.aspx?doi=10.4018/978-1-46662-533-4</v>
      </c>
    </row>
    <row r="267" spans="1:14">
      <c r="A267" s="31">
        <v>266</v>
      </c>
      <c r="B267" s="31" t="s">
        <v>571</v>
      </c>
      <c r="C267" s="31" t="s">
        <v>1271</v>
      </c>
      <c r="D267" s="32" t="s">
        <v>1793</v>
      </c>
      <c r="E267" s="32" t="s">
        <v>3948</v>
      </c>
      <c r="F267" s="31" t="s">
        <v>3949</v>
      </c>
      <c r="G267" s="31" t="s">
        <v>3950</v>
      </c>
      <c r="H267" s="31" t="s">
        <v>3951</v>
      </c>
      <c r="I267" s="31">
        <v>1</v>
      </c>
      <c r="J267" s="31">
        <v>1</v>
      </c>
      <c r="K267" s="31" t="s">
        <v>3952</v>
      </c>
      <c r="L267" s="31" t="s">
        <v>569</v>
      </c>
      <c r="M267" s="31">
        <v>2013</v>
      </c>
      <c r="N267" s="33" t="str">
        <f>HYPERLINK("http://services.igi-global.com/resolvedoi/resolve.aspx?doi=10.4018/978-1-46662-488-7")</f>
        <v>http://services.igi-global.com/resolvedoi/resolve.aspx?doi=10.4018/978-1-46662-488-7</v>
      </c>
    </row>
    <row r="268" spans="1:14">
      <c r="A268" s="31">
        <v>267</v>
      </c>
      <c r="B268" s="31" t="s">
        <v>571</v>
      </c>
      <c r="C268" s="31" t="s">
        <v>1271</v>
      </c>
      <c r="D268" s="32" t="s">
        <v>3942</v>
      </c>
      <c r="E268" s="32" t="s">
        <v>3943</v>
      </c>
      <c r="F268" s="31" t="s">
        <v>3944</v>
      </c>
      <c r="G268" s="31" t="s">
        <v>3945</v>
      </c>
      <c r="H268" s="31" t="s">
        <v>3946</v>
      </c>
      <c r="I268" s="31">
        <v>1</v>
      </c>
      <c r="J268" s="31">
        <v>1</v>
      </c>
      <c r="K268" s="31" t="s">
        <v>3947</v>
      </c>
      <c r="L268" s="31" t="s">
        <v>569</v>
      </c>
      <c r="M268" s="31">
        <v>2013</v>
      </c>
      <c r="N268" s="33" t="str">
        <f>HYPERLINK("http://services.igi-global.com/resolvedoi/resolve.aspx?doi=10.4018/978-1-46662-669-0")</f>
        <v>http://services.igi-global.com/resolvedoi/resolve.aspx?doi=10.4018/978-1-46662-669-0</v>
      </c>
    </row>
    <row r="269" spans="1:14">
      <c r="A269" s="31">
        <v>268</v>
      </c>
      <c r="B269" s="31" t="s">
        <v>571</v>
      </c>
      <c r="C269" s="31" t="s">
        <v>1271</v>
      </c>
      <c r="D269" s="32" t="s">
        <v>3953</v>
      </c>
      <c r="E269" s="32" t="s">
        <v>3954</v>
      </c>
      <c r="F269" s="31" t="s">
        <v>3955</v>
      </c>
      <c r="G269" s="31" t="s">
        <v>3956</v>
      </c>
      <c r="H269" s="31" t="s">
        <v>3957</v>
      </c>
      <c r="I269" s="31">
        <v>1</v>
      </c>
      <c r="J269" s="31">
        <v>1</v>
      </c>
      <c r="K269" s="31" t="s">
        <v>3958</v>
      </c>
      <c r="L269" s="31" t="s">
        <v>569</v>
      </c>
      <c r="M269" s="31">
        <v>2009</v>
      </c>
      <c r="N269" s="33" t="str">
        <f>HYPERLINK("http://services.igi-global.com/resolvedoi/resolve.aspx?doi=10.4018/978-1-60566-226-8")</f>
        <v>http://services.igi-global.com/resolvedoi/resolve.aspx?doi=10.4018/978-1-60566-226-8</v>
      </c>
    </row>
    <row r="270" spans="1:14">
      <c r="A270" s="31">
        <v>269</v>
      </c>
      <c r="B270" s="31" t="s">
        <v>571</v>
      </c>
      <c r="C270" s="31" t="s">
        <v>1271</v>
      </c>
      <c r="D270" s="32">
        <v>621.47</v>
      </c>
      <c r="E270" s="32" t="s">
        <v>3920</v>
      </c>
      <c r="F270" s="31" t="s">
        <v>3921</v>
      </c>
      <c r="G270" s="31" t="s">
        <v>3922</v>
      </c>
      <c r="H270" s="31" t="s">
        <v>3923</v>
      </c>
      <c r="I270" s="31">
        <v>1</v>
      </c>
      <c r="J270" s="31">
        <v>1</v>
      </c>
      <c r="K270" s="31" t="s">
        <v>3924</v>
      </c>
      <c r="L270" s="31" t="s">
        <v>1233</v>
      </c>
      <c r="M270" s="31">
        <v>2013</v>
      </c>
      <c r="N270" s="33" t="str">
        <f>HYPERLINK("http://services.igi-global.com/resolvedoi/resolve.aspx?doi=10.4018/978-1-46661-996-8")</f>
        <v>http://services.igi-global.com/resolvedoi/resolve.aspx?doi=10.4018/978-1-46661-996-8</v>
      </c>
    </row>
    <row r="271" spans="1:14">
      <c r="A271" s="31">
        <v>270</v>
      </c>
      <c r="B271" s="31" t="s">
        <v>571</v>
      </c>
      <c r="C271" s="31" t="s">
        <v>1271</v>
      </c>
      <c r="D271" s="32" t="s">
        <v>3874</v>
      </c>
      <c r="E271" s="32" t="s">
        <v>3875</v>
      </c>
      <c r="F271" s="31" t="s">
        <v>3876</v>
      </c>
      <c r="G271" s="31" t="s">
        <v>3877</v>
      </c>
      <c r="H271" s="31" t="s">
        <v>3878</v>
      </c>
      <c r="I271" s="31">
        <v>1</v>
      </c>
      <c r="J271" s="31">
        <v>1</v>
      </c>
      <c r="K271" s="31" t="s">
        <v>3879</v>
      </c>
      <c r="L271" s="31" t="s">
        <v>569</v>
      </c>
      <c r="M271" s="31">
        <v>2013</v>
      </c>
      <c r="N271" s="33" t="str">
        <f>HYPERLINK("http://services.igi-global.com/resolvedoi/resolve.aspx?doi=10.4018/978-1-46662-089-6")</f>
        <v>http://services.igi-global.com/resolvedoi/resolve.aspx?doi=10.4018/978-1-46662-089-6</v>
      </c>
    </row>
    <row r="272" spans="1:14">
      <c r="A272" s="31">
        <v>271</v>
      </c>
      <c r="B272" s="31" t="s">
        <v>571</v>
      </c>
      <c r="C272" s="31" t="s">
        <v>1271</v>
      </c>
      <c r="D272" s="32" t="s">
        <v>1686</v>
      </c>
      <c r="E272" s="32" t="s">
        <v>3915</v>
      </c>
      <c r="F272" s="31" t="s">
        <v>3916</v>
      </c>
      <c r="G272" s="31" t="s">
        <v>3917</v>
      </c>
      <c r="H272" s="31" t="s">
        <v>3918</v>
      </c>
      <c r="I272" s="31">
        <v>1</v>
      </c>
      <c r="J272" s="31">
        <v>1</v>
      </c>
      <c r="K272" s="31" t="s">
        <v>3919</v>
      </c>
      <c r="L272" s="31" t="s">
        <v>569</v>
      </c>
      <c r="M272" s="31">
        <v>2013</v>
      </c>
      <c r="N272" s="33" t="str">
        <f>HYPERLINK("http://services.igi-global.com/resolvedoi/resolve.aspx?doi=10.4018/978-1-46663-922-5")</f>
        <v>http://services.igi-global.com/resolvedoi/resolve.aspx?doi=10.4018/978-1-46663-922-5</v>
      </c>
    </row>
    <row r="273" spans="1:14">
      <c r="A273" s="31">
        <v>272</v>
      </c>
      <c r="B273" s="31" t="s">
        <v>571</v>
      </c>
      <c r="C273" s="31" t="s">
        <v>1271</v>
      </c>
      <c r="D273" s="32" t="s">
        <v>3880</v>
      </c>
      <c r="E273" s="32" t="s">
        <v>3881</v>
      </c>
      <c r="F273" s="31" t="s">
        <v>3882</v>
      </c>
      <c r="G273" s="31" t="s">
        <v>3883</v>
      </c>
      <c r="H273" s="31" t="s">
        <v>3884</v>
      </c>
      <c r="I273" s="31">
        <v>1</v>
      </c>
      <c r="J273" s="31">
        <v>1</v>
      </c>
      <c r="K273" s="31" t="s">
        <v>3885</v>
      </c>
      <c r="L273" s="31" t="s">
        <v>1233</v>
      </c>
      <c r="M273" s="31">
        <v>2013</v>
      </c>
      <c r="N273" s="33" t="str">
        <f>HYPERLINK("http://services.igi-global.com/resolvedoi/resolve.aspx?doi=10.4018/978-1-46661-927-2")</f>
        <v>http://services.igi-global.com/resolvedoi/resolve.aspx?doi=10.4018/978-1-46661-927-2</v>
      </c>
    </row>
    <row r="274" spans="1:14">
      <c r="A274" s="31">
        <v>273</v>
      </c>
      <c r="B274" s="31" t="s">
        <v>571</v>
      </c>
      <c r="C274" s="31" t="s">
        <v>1271</v>
      </c>
      <c r="D274" s="32" t="s">
        <v>3925</v>
      </c>
      <c r="E274" s="32" t="s">
        <v>3926</v>
      </c>
      <c r="F274" s="31" t="s">
        <v>3927</v>
      </c>
      <c r="G274" s="31" t="s">
        <v>3928</v>
      </c>
      <c r="H274" s="31" t="s">
        <v>3929</v>
      </c>
      <c r="I274" s="31">
        <v>1</v>
      </c>
      <c r="J274" s="31">
        <v>1</v>
      </c>
      <c r="K274" s="31" t="s">
        <v>3930</v>
      </c>
      <c r="L274" s="31" t="s">
        <v>1233</v>
      </c>
      <c r="M274" s="31">
        <v>2013</v>
      </c>
      <c r="N274" s="33" t="str">
        <f>HYPERLINK("http://services.igi-global.com/resolvedoi/resolve.aspx?doi=10.4018/978-1-46664-042-9")</f>
        <v>http://services.igi-global.com/resolvedoi/resolve.aspx?doi=10.4018/978-1-46664-042-9</v>
      </c>
    </row>
    <row r="275" spans="1:14">
      <c r="A275" s="31">
        <v>274</v>
      </c>
      <c r="B275" s="31" t="s">
        <v>571</v>
      </c>
      <c r="C275" s="31" t="s">
        <v>1271</v>
      </c>
      <c r="D275" s="32">
        <v>629.13</v>
      </c>
      <c r="E275" s="32" t="s">
        <v>3968</v>
      </c>
      <c r="F275" s="31" t="s">
        <v>3969</v>
      </c>
      <c r="G275" s="31" t="s">
        <v>3970</v>
      </c>
      <c r="H275" s="31" t="s">
        <v>3971</v>
      </c>
      <c r="I275" s="31">
        <v>1</v>
      </c>
      <c r="J275" s="31">
        <v>1</v>
      </c>
      <c r="K275" s="31" t="s">
        <v>3972</v>
      </c>
      <c r="L275" s="31" t="s">
        <v>569</v>
      </c>
      <c r="M275" s="31">
        <v>2012</v>
      </c>
      <c r="N275" s="33" t="str">
        <f>HYPERLINK("http://services.igi-global.com/resolvedoi/resolve.aspx?doi=10.4018/978-1-60960-887-3")</f>
        <v>http://services.igi-global.com/resolvedoi/resolve.aspx?doi=10.4018/978-1-60960-887-3</v>
      </c>
    </row>
    <row r="276" spans="1:14">
      <c r="A276" s="31">
        <v>275</v>
      </c>
      <c r="B276" s="31" t="s">
        <v>571</v>
      </c>
      <c r="C276" s="31" t="s">
        <v>1271</v>
      </c>
      <c r="D276" s="32">
        <v>658.50285220000001</v>
      </c>
      <c r="E276" s="32" t="s">
        <v>3937</v>
      </c>
      <c r="F276" s="31" t="s">
        <v>3938</v>
      </c>
      <c r="G276" s="31" t="s">
        <v>3939</v>
      </c>
      <c r="H276" s="31" t="s">
        <v>3940</v>
      </c>
      <c r="I276" s="31">
        <v>1</v>
      </c>
      <c r="J276" s="31">
        <v>1</v>
      </c>
      <c r="K276" s="31" t="s">
        <v>3941</v>
      </c>
      <c r="L276" s="31" t="s">
        <v>569</v>
      </c>
      <c r="M276" s="31">
        <v>2010</v>
      </c>
      <c r="N276" s="33" t="str">
        <f>HYPERLINK("http://services.igi-global.com/resolvedoi/resolve.aspx?doi=10.4018/978-1-61520-692-6")</f>
        <v>http://services.igi-global.com/resolvedoi/resolve.aspx?doi=10.4018/978-1-61520-692-6</v>
      </c>
    </row>
    <row r="277" spans="1:14">
      <c r="A277" s="41">
        <v>276</v>
      </c>
      <c r="B277" s="41" t="s">
        <v>571</v>
      </c>
      <c r="C277" s="41" t="s">
        <v>1271</v>
      </c>
      <c r="D277" s="42">
        <v>670</v>
      </c>
      <c r="E277" s="42" t="s">
        <v>3911</v>
      </c>
      <c r="F277" s="41" t="s">
        <v>3912</v>
      </c>
      <c r="G277" s="41" t="s">
        <v>3913</v>
      </c>
      <c r="H277" s="41" t="s">
        <v>3914</v>
      </c>
      <c r="I277" s="41">
        <v>1</v>
      </c>
      <c r="J277" s="41">
        <v>1</v>
      </c>
      <c r="K277" s="41" t="s">
        <v>222</v>
      </c>
      <c r="L277" s="41" t="s">
        <v>1233</v>
      </c>
      <c r="M277" s="41">
        <v>2013</v>
      </c>
      <c r="N277" s="43" t="str">
        <f>HYPERLINK("http://services.igi-global.com/resolvedoi/resolve.aspx?doi=10.4018/978-1-46661-867-1")</f>
        <v>http://services.igi-global.com/resolvedoi/resolve.aspx?doi=10.4018/978-1-46661-867-1</v>
      </c>
    </row>
    <row r="278" spans="1:14">
      <c r="A278" s="36"/>
      <c r="B278" s="36"/>
      <c r="C278" s="36"/>
      <c r="D278" s="37"/>
      <c r="E278" s="37"/>
      <c r="F278" s="36"/>
      <c r="G278" s="36"/>
      <c r="H278" s="36"/>
      <c r="I278" s="36"/>
      <c r="J278" s="36"/>
      <c r="K278" s="36"/>
      <c r="L278" s="36"/>
      <c r="M278" s="36"/>
      <c r="N278" s="38"/>
    </row>
  </sheetData>
  <sortState xmlns:xlrd2="http://schemas.microsoft.com/office/spreadsheetml/2017/richdata2" ref="A1:N277">
    <sortCondition ref="C2:C277"/>
    <sortCondition ref="E2:E277"/>
    <sortCondition ref="M2:M277"/>
    <sortCondition ref="H2:H277"/>
  </sortState>
  <phoneticPr fontId="3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41"/>
  <sheetViews>
    <sheetView workbookViewId="0">
      <selection activeCell="C2" sqref="C2"/>
    </sheetView>
  </sheetViews>
  <sheetFormatPr defaultColWidth="9" defaultRowHeight="16.2"/>
  <cols>
    <col min="1" max="1" width="6.77734375" style="12" customWidth="1"/>
    <col min="2" max="2" width="22.88671875" style="12" hidden="1" customWidth="1"/>
    <col min="3" max="3" width="26.88671875" style="12" customWidth="1"/>
    <col min="4" max="4" width="21.77734375" style="12" hidden="1" customWidth="1"/>
    <col min="5" max="5" width="21.21875" style="12" hidden="1" customWidth="1"/>
    <col min="6" max="6" width="17.88671875" style="12" customWidth="1"/>
    <col min="7" max="7" width="17" style="12" hidden="1" customWidth="1"/>
    <col min="8" max="8" width="65.6640625" style="12" customWidth="1"/>
    <col min="9" max="9" width="8.77734375" style="12" customWidth="1"/>
    <col min="10" max="10" width="6.77734375" style="12" customWidth="1"/>
    <col min="11" max="11" width="32.109375" style="12" customWidth="1"/>
    <col min="12" max="12" width="39.109375" style="12" hidden="1" customWidth="1"/>
    <col min="13" max="13" width="6.77734375" style="12" customWidth="1"/>
    <col min="14" max="14" width="40.109375" style="11" bestFit="1" customWidth="1"/>
    <col min="15" max="15" width="14.44140625" style="12" hidden="1" customWidth="1"/>
    <col min="16" max="16384" width="9" style="12"/>
  </cols>
  <sheetData>
    <row r="1" spans="1:15" ht="20.100000000000001" customHeight="1">
      <c r="A1" s="18" t="s">
        <v>1618</v>
      </c>
      <c r="B1" s="19" t="s">
        <v>1619</v>
      </c>
      <c r="C1" s="19" t="s">
        <v>1620</v>
      </c>
      <c r="D1" s="20" t="s">
        <v>1225</v>
      </c>
      <c r="E1" s="20" t="s">
        <v>1226</v>
      </c>
      <c r="F1" s="21" t="s">
        <v>1621</v>
      </c>
      <c r="G1" s="21" t="s">
        <v>544</v>
      </c>
      <c r="H1" s="19" t="s">
        <v>1622</v>
      </c>
      <c r="I1" s="19" t="s">
        <v>1623</v>
      </c>
      <c r="J1" s="19" t="s">
        <v>1624</v>
      </c>
      <c r="K1" s="19" t="s">
        <v>1625</v>
      </c>
      <c r="L1" s="19" t="s">
        <v>1626</v>
      </c>
      <c r="M1" s="19" t="s">
        <v>545</v>
      </c>
      <c r="N1" s="19" t="s">
        <v>2383</v>
      </c>
      <c r="O1" s="22" t="s">
        <v>1627</v>
      </c>
    </row>
    <row r="2" spans="1:15">
      <c r="A2" s="16">
        <v>1</v>
      </c>
      <c r="B2" s="6" t="s">
        <v>571</v>
      </c>
      <c r="C2" s="6" t="s">
        <v>1636</v>
      </c>
      <c r="D2" s="13" t="s">
        <v>489</v>
      </c>
      <c r="E2" s="13" t="s">
        <v>1750</v>
      </c>
      <c r="F2" s="5" t="s">
        <v>1751</v>
      </c>
      <c r="G2" s="5" t="s">
        <v>1752</v>
      </c>
      <c r="H2" s="6" t="s">
        <v>1753</v>
      </c>
      <c r="I2" s="7">
        <v>2009</v>
      </c>
      <c r="J2" s="7">
        <v>1</v>
      </c>
      <c r="K2" s="6" t="s">
        <v>570</v>
      </c>
      <c r="L2" s="6" t="s">
        <v>569</v>
      </c>
      <c r="M2" s="7">
        <v>1</v>
      </c>
      <c r="N2" s="11" t="s">
        <v>2430</v>
      </c>
      <c r="O2" s="17" t="s">
        <v>1635</v>
      </c>
    </row>
    <row r="3" spans="1:15">
      <c r="A3" s="16">
        <v>2</v>
      </c>
      <c r="B3" s="6" t="s">
        <v>571</v>
      </c>
      <c r="C3" s="6" t="s">
        <v>1636</v>
      </c>
      <c r="D3" s="13" t="s">
        <v>2151</v>
      </c>
      <c r="E3" s="13" t="s">
        <v>2152</v>
      </c>
      <c r="F3" s="5" t="s">
        <v>2153</v>
      </c>
      <c r="G3" s="5" t="s">
        <v>2154</v>
      </c>
      <c r="H3" s="6" t="s">
        <v>2155</v>
      </c>
      <c r="I3" s="7">
        <v>2010</v>
      </c>
      <c r="J3" s="7">
        <v>1</v>
      </c>
      <c r="K3" s="6" t="s">
        <v>2156</v>
      </c>
      <c r="L3" s="6" t="s">
        <v>568</v>
      </c>
      <c r="M3" s="7">
        <v>1</v>
      </c>
      <c r="N3" s="11" t="s">
        <v>2420</v>
      </c>
      <c r="O3" s="17" t="s">
        <v>1635</v>
      </c>
    </row>
    <row r="4" spans="1:15">
      <c r="A4" s="16">
        <v>3</v>
      </c>
      <c r="B4" s="6" t="s">
        <v>571</v>
      </c>
      <c r="C4" s="6" t="s">
        <v>1636</v>
      </c>
      <c r="D4" s="13" t="s">
        <v>489</v>
      </c>
      <c r="E4" s="13" t="s">
        <v>2176</v>
      </c>
      <c r="F4" s="5" t="s">
        <v>2177</v>
      </c>
      <c r="G4" s="5" t="s">
        <v>2178</v>
      </c>
      <c r="H4" s="6" t="s">
        <v>2179</v>
      </c>
      <c r="I4" s="7">
        <v>2010</v>
      </c>
      <c r="J4" s="7">
        <v>1</v>
      </c>
      <c r="K4" s="6" t="s">
        <v>2180</v>
      </c>
      <c r="L4" s="6" t="s">
        <v>568</v>
      </c>
      <c r="M4" s="7">
        <v>1</v>
      </c>
      <c r="N4" s="11" t="s">
        <v>2429</v>
      </c>
      <c r="O4" s="17" t="s">
        <v>1635</v>
      </c>
    </row>
    <row r="5" spans="1:15">
      <c r="A5" s="16">
        <v>4</v>
      </c>
      <c r="B5" s="6" t="s">
        <v>571</v>
      </c>
      <c r="C5" s="6" t="s">
        <v>1636</v>
      </c>
      <c r="D5" s="13" t="s">
        <v>2309</v>
      </c>
      <c r="E5" s="13" t="s">
        <v>2310</v>
      </c>
      <c r="F5" s="5" t="s">
        <v>2311</v>
      </c>
      <c r="G5" s="5" t="s">
        <v>2312</v>
      </c>
      <c r="H5" s="6" t="s">
        <v>2313</v>
      </c>
      <c r="I5" s="7">
        <v>2010</v>
      </c>
      <c r="J5" s="7">
        <v>1</v>
      </c>
      <c r="K5" s="6" t="s">
        <v>2314</v>
      </c>
      <c r="L5" s="6" t="s">
        <v>569</v>
      </c>
      <c r="M5" s="7">
        <v>1</v>
      </c>
      <c r="N5" s="11" t="s">
        <v>2409</v>
      </c>
      <c r="O5" s="17" t="s">
        <v>1635</v>
      </c>
    </row>
    <row r="6" spans="1:15">
      <c r="A6" s="16">
        <v>5</v>
      </c>
      <c r="B6" s="6" t="s">
        <v>571</v>
      </c>
      <c r="C6" s="6" t="s">
        <v>1636</v>
      </c>
      <c r="D6" s="13" t="s">
        <v>1891</v>
      </c>
      <c r="E6" s="13" t="s">
        <v>1892</v>
      </c>
      <c r="F6" s="5" t="s">
        <v>1893</v>
      </c>
      <c r="G6" s="5" t="s">
        <v>1894</v>
      </c>
      <c r="H6" s="6" t="s">
        <v>1895</v>
      </c>
      <c r="I6" s="7">
        <v>2013</v>
      </c>
      <c r="J6" s="7">
        <v>1</v>
      </c>
      <c r="K6" s="6" t="s">
        <v>1896</v>
      </c>
      <c r="L6" s="6" t="s">
        <v>568</v>
      </c>
      <c r="M6" s="7">
        <v>1</v>
      </c>
      <c r="N6" s="11" t="s">
        <v>2418</v>
      </c>
      <c r="O6" s="17" t="s">
        <v>1635</v>
      </c>
    </row>
    <row r="7" spans="1:15">
      <c r="A7" s="16">
        <v>6</v>
      </c>
      <c r="B7" s="6" t="s">
        <v>571</v>
      </c>
      <c r="C7" s="6" t="s">
        <v>1636</v>
      </c>
      <c r="D7" s="13" t="s">
        <v>2064</v>
      </c>
      <c r="E7" s="13" t="s">
        <v>2065</v>
      </c>
      <c r="F7" s="5" t="s">
        <v>2066</v>
      </c>
      <c r="G7" s="5" t="s">
        <v>2067</v>
      </c>
      <c r="H7" s="6" t="s">
        <v>2068</v>
      </c>
      <c r="I7" s="7">
        <v>2013</v>
      </c>
      <c r="J7" s="7">
        <v>1</v>
      </c>
      <c r="K7" s="6" t="s">
        <v>2069</v>
      </c>
      <c r="L7" s="6" t="s">
        <v>568</v>
      </c>
      <c r="M7" s="7">
        <v>1</v>
      </c>
      <c r="N7" s="11" t="s">
        <v>2422</v>
      </c>
      <c r="O7" s="17" t="s">
        <v>1635</v>
      </c>
    </row>
    <row r="8" spans="1:15">
      <c r="A8" s="16">
        <v>7</v>
      </c>
      <c r="B8" s="6" t="s">
        <v>571</v>
      </c>
      <c r="C8" s="6" t="s">
        <v>1636</v>
      </c>
      <c r="D8" s="13" t="s">
        <v>2107</v>
      </c>
      <c r="E8" s="13" t="s">
        <v>2245</v>
      </c>
      <c r="F8" s="5" t="s">
        <v>2246</v>
      </c>
      <c r="G8" s="5" t="s">
        <v>2247</v>
      </c>
      <c r="H8" s="6" t="s">
        <v>2248</v>
      </c>
      <c r="I8" s="7">
        <v>2013</v>
      </c>
      <c r="J8" s="7">
        <v>1</v>
      </c>
      <c r="K8" s="6" t="s">
        <v>2249</v>
      </c>
      <c r="L8" s="6" t="s">
        <v>568</v>
      </c>
      <c r="M8" s="7">
        <v>1</v>
      </c>
      <c r="N8" s="11" t="s">
        <v>2434</v>
      </c>
      <c r="O8" s="17" t="s">
        <v>1635</v>
      </c>
    </row>
    <row r="9" spans="1:15">
      <c r="A9" s="16">
        <v>8</v>
      </c>
      <c r="B9" s="6" t="s">
        <v>571</v>
      </c>
      <c r="C9" s="6" t="s">
        <v>1636</v>
      </c>
      <c r="D9" s="13" t="s">
        <v>1637</v>
      </c>
      <c r="E9" s="13" t="s">
        <v>1638</v>
      </c>
      <c r="F9" s="5" t="s">
        <v>1639</v>
      </c>
      <c r="G9" s="5" t="s">
        <v>1640</v>
      </c>
      <c r="H9" s="6" t="s">
        <v>1641</v>
      </c>
      <c r="I9" s="7">
        <v>2014</v>
      </c>
      <c r="J9" s="7">
        <v>1</v>
      </c>
      <c r="K9" s="6" t="s">
        <v>1642</v>
      </c>
      <c r="L9" s="6" t="s">
        <v>568</v>
      </c>
      <c r="M9" s="7">
        <v>1</v>
      </c>
      <c r="N9" s="11" t="s">
        <v>2414</v>
      </c>
      <c r="O9" s="17" t="s">
        <v>1635</v>
      </c>
    </row>
    <row r="10" spans="1:15">
      <c r="A10" s="16">
        <v>9</v>
      </c>
      <c r="B10" s="6" t="s">
        <v>571</v>
      </c>
      <c r="C10" s="6" t="s">
        <v>1636</v>
      </c>
      <c r="D10" s="13" t="s">
        <v>1709</v>
      </c>
      <c r="E10" s="13" t="s">
        <v>1710</v>
      </c>
      <c r="F10" s="5" t="s">
        <v>1711</v>
      </c>
      <c r="G10" s="5" t="s">
        <v>1712</v>
      </c>
      <c r="H10" s="6" t="s">
        <v>1713</v>
      </c>
      <c r="I10" s="7">
        <v>2014</v>
      </c>
      <c r="J10" s="7">
        <v>1</v>
      </c>
      <c r="K10" s="6" t="s">
        <v>572</v>
      </c>
      <c r="L10" s="6" t="s">
        <v>568</v>
      </c>
      <c r="M10" s="7">
        <v>1</v>
      </c>
      <c r="N10" s="11" t="s">
        <v>2416</v>
      </c>
      <c r="O10" s="17" t="s">
        <v>1635</v>
      </c>
    </row>
    <row r="11" spans="1:15">
      <c r="A11" s="16">
        <v>10</v>
      </c>
      <c r="B11" s="6" t="s">
        <v>571</v>
      </c>
      <c r="C11" s="6" t="s">
        <v>1636</v>
      </c>
      <c r="D11" s="13" t="s">
        <v>1744</v>
      </c>
      <c r="E11" s="13" t="s">
        <v>1745</v>
      </c>
      <c r="F11" s="5" t="s">
        <v>1746</v>
      </c>
      <c r="G11" s="5" t="s">
        <v>1747</v>
      </c>
      <c r="H11" s="6" t="s">
        <v>1748</v>
      </c>
      <c r="I11" s="7">
        <v>2014</v>
      </c>
      <c r="J11" s="7">
        <v>1</v>
      </c>
      <c r="K11" s="6" t="s">
        <v>1749</v>
      </c>
      <c r="L11" s="6" t="s">
        <v>568</v>
      </c>
      <c r="M11" s="7">
        <v>1</v>
      </c>
      <c r="N11" s="11" t="s">
        <v>2427</v>
      </c>
      <c r="O11" s="17" t="s">
        <v>1635</v>
      </c>
    </row>
    <row r="12" spans="1:15">
      <c r="A12" s="16">
        <v>11</v>
      </c>
      <c r="B12" s="6" t="s">
        <v>571</v>
      </c>
      <c r="C12" s="6" t="s">
        <v>1636</v>
      </c>
      <c r="D12" s="13" t="s">
        <v>1810</v>
      </c>
      <c r="E12" s="13" t="s">
        <v>1811</v>
      </c>
      <c r="F12" s="5" t="s">
        <v>1812</v>
      </c>
      <c r="G12" s="5" t="s">
        <v>1813</v>
      </c>
      <c r="H12" s="6" t="s">
        <v>1814</v>
      </c>
      <c r="I12" s="7">
        <v>2014</v>
      </c>
      <c r="J12" s="7">
        <v>1</v>
      </c>
      <c r="K12" s="6" t="s">
        <v>1815</v>
      </c>
      <c r="L12" s="6" t="s">
        <v>568</v>
      </c>
      <c r="M12" s="7">
        <v>1</v>
      </c>
      <c r="N12" s="11" t="s">
        <v>2412</v>
      </c>
      <c r="O12" s="17" t="s">
        <v>1635</v>
      </c>
    </row>
    <row r="13" spans="1:15">
      <c r="A13" s="16">
        <v>12</v>
      </c>
      <c r="B13" s="6" t="s">
        <v>571</v>
      </c>
      <c r="C13" s="6" t="s">
        <v>1636</v>
      </c>
      <c r="D13" s="13" t="s">
        <v>1709</v>
      </c>
      <c r="E13" s="13" t="s">
        <v>1875</v>
      </c>
      <c r="F13" s="5" t="s">
        <v>1876</v>
      </c>
      <c r="G13" s="5" t="s">
        <v>1877</v>
      </c>
      <c r="H13" s="6" t="s">
        <v>1878</v>
      </c>
      <c r="I13" s="7">
        <v>2014</v>
      </c>
      <c r="J13" s="7">
        <v>1</v>
      </c>
      <c r="K13" s="6" t="s">
        <v>572</v>
      </c>
      <c r="L13" s="6" t="s">
        <v>568</v>
      </c>
      <c r="M13" s="7">
        <v>1</v>
      </c>
      <c r="N13" s="11" t="s">
        <v>2417</v>
      </c>
      <c r="O13" s="17" t="s">
        <v>1635</v>
      </c>
    </row>
    <row r="14" spans="1:15">
      <c r="A14" s="16">
        <v>13</v>
      </c>
      <c r="B14" s="6" t="s">
        <v>571</v>
      </c>
      <c r="C14" s="6" t="s">
        <v>1636</v>
      </c>
      <c r="D14" s="13" t="s">
        <v>1897</v>
      </c>
      <c r="E14" s="13" t="s">
        <v>1898</v>
      </c>
      <c r="F14" s="5" t="s">
        <v>1899</v>
      </c>
      <c r="G14" s="5" t="s">
        <v>1900</v>
      </c>
      <c r="H14" s="6" t="s">
        <v>1901</v>
      </c>
      <c r="I14" s="7">
        <v>2014</v>
      </c>
      <c r="J14" s="7">
        <v>1</v>
      </c>
      <c r="K14" s="6" t="s">
        <v>906</v>
      </c>
      <c r="L14" s="6" t="s">
        <v>568</v>
      </c>
      <c r="M14" s="7">
        <v>1</v>
      </c>
      <c r="N14" s="11" t="s">
        <v>2424</v>
      </c>
      <c r="O14" s="17" t="s">
        <v>1635</v>
      </c>
    </row>
    <row r="15" spans="1:15">
      <c r="A15" s="16">
        <v>14</v>
      </c>
      <c r="B15" s="6" t="s">
        <v>571</v>
      </c>
      <c r="C15" s="6" t="s">
        <v>1636</v>
      </c>
      <c r="D15" s="13" t="s">
        <v>1902</v>
      </c>
      <c r="E15" s="13" t="s">
        <v>1903</v>
      </c>
      <c r="F15" s="5" t="s">
        <v>1904</v>
      </c>
      <c r="G15" s="5" t="s">
        <v>1905</v>
      </c>
      <c r="H15" s="6" t="s">
        <v>1906</v>
      </c>
      <c r="I15" s="7">
        <v>2014</v>
      </c>
      <c r="J15" s="7">
        <v>1</v>
      </c>
      <c r="K15" s="6" t="s">
        <v>1907</v>
      </c>
      <c r="L15" s="6" t="s">
        <v>568</v>
      </c>
      <c r="M15" s="7">
        <v>1</v>
      </c>
      <c r="N15" s="11" t="s">
        <v>2421</v>
      </c>
      <c r="O15" s="17" t="s">
        <v>1635</v>
      </c>
    </row>
    <row r="16" spans="1:15">
      <c r="A16" s="16">
        <v>15</v>
      </c>
      <c r="B16" s="6" t="s">
        <v>571</v>
      </c>
      <c r="C16" s="6" t="s">
        <v>1636</v>
      </c>
      <c r="D16" s="13" t="s">
        <v>1908</v>
      </c>
      <c r="E16" s="13" t="s">
        <v>1909</v>
      </c>
      <c r="F16" s="5" t="s">
        <v>1910</v>
      </c>
      <c r="G16" s="5" t="s">
        <v>1911</v>
      </c>
      <c r="H16" s="6" t="s">
        <v>1912</v>
      </c>
      <c r="I16" s="7">
        <v>2014</v>
      </c>
      <c r="J16" s="7">
        <v>1</v>
      </c>
      <c r="K16" s="6" t="s">
        <v>161</v>
      </c>
      <c r="L16" s="6" t="s">
        <v>568</v>
      </c>
      <c r="M16" s="7">
        <v>1</v>
      </c>
      <c r="N16" s="11" t="s">
        <v>2407</v>
      </c>
      <c r="O16" s="17" t="s">
        <v>1635</v>
      </c>
    </row>
    <row r="17" spans="1:15">
      <c r="A17" s="16">
        <v>16</v>
      </c>
      <c r="B17" s="6" t="s">
        <v>571</v>
      </c>
      <c r="C17" s="6" t="s">
        <v>1636</v>
      </c>
      <c r="D17" s="13" t="s">
        <v>1930</v>
      </c>
      <c r="E17" s="13" t="s">
        <v>1931</v>
      </c>
      <c r="F17" s="5" t="s">
        <v>1932</v>
      </c>
      <c r="G17" s="5" t="s">
        <v>1933</v>
      </c>
      <c r="H17" s="6" t="s">
        <v>1934</v>
      </c>
      <c r="I17" s="7">
        <v>2014</v>
      </c>
      <c r="J17" s="7">
        <v>1</v>
      </c>
      <c r="K17" s="6" t="s">
        <v>1935</v>
      </c>
      <c r="L17" s="6" t="s">
        <v>568</v>
      </c>
      <c r="M17" s="7">
        <v>1</v>
      </c>
      <c r="N17" s="11" t="s">
        <v>2408</v>
      </c>
      <c r="O17" s="17" t="s">
        <v>1635</v>
      </c>
    </row>
    <row r="18" spans="1:15">
      <c r="A18" s="16">
        <v>17</v>
      </c>
      <c r="B18" s="6" t="s">
        <v>571</v>
      </c>
      <c r="C18" s="6" t="s">
        <v>1636</v>
      </c>
      <c r="D18" s="13" t="s">
        <v>2026</v>
      </c>
      <c r="E18" s="13" t="s">
        <v>2027</v>
      </c>
      <c r="F18" s="5" t="s">
        <v>2028</v>
      </c>
      <c r="G18" s="5" t="s">
        <v>2029</v>
      </c>
      <c r="H18" s="6" t="s">
        <v>2030</v>
      </c>
      <c r="I18" s="7">
        <v>2014</v>
      </c>
      <c r="J18" s="7">
        <v>1</v>
      </c>
      <c r="K18" s="6" t="s">
        <v>2031</v>
      </c>
      <c r="L18" s="6" t="s">
        <v>568</v>
      </c>
      <c r="M18" s="7">
        <v>1</v>
      </c>
      <c r="N18" s="11" t="s">
        <v>2432</v>
      </c>
      <c r="O18" s="17" t="s">
        <v>1635</v>
      </c>
    </row>
    <row r="19" spans="1:15">
      <c r="A19" s="16">
        <v>18</v>
      </c>
      <c r="B19" s="6" t="s">
        <v>571</v>
      </c>
      <c r="C19" s="6" t="s">
        <v>1636</v>
      </c>
      <c r="D19" s="13" t="s">
        <v>1744</v>
      </c>
      <c r="E19" s="13" t="s">
        <v>1827</v>
      </c>
      <c r="F19" s="5" t="s">
        <v>1828</v>
      </c>
      <c r="G19" s="5" t="s">
        <v>1829</v>
      </c>
      <c r="H19" s="6" t="s">
        <v>2385</v>
      </c>
      <c r="I19" s="7">
        <v>2014</v>
      </c>
      <c r="J19" s="7">
        <v>1</v>
      </c>
      <c r="K19" s="6" t="s">
        <v>1830</v>
      </c>
      <c r="L19" s="6" t="s">
        <v>568</v>
      </c>
      <c r="M19" s="7">
        <v>1</v>
      </c>
      <c r="N19" s="11" t="s">
        <v>2411</v>
      </c>
      <c r="O19" s="17" t="s">
        <v>1635</v>
      </c>
    </row>
    <row r="20" spans="1:15">
      <c r="A20" s="16">
        <v>19</v>
      </c>
      <c r="B20" s="6" t="s">
        <v>571</v>
      </c>
      <c r="C20" s="6" t="s">
        <v>1636</v>
      </c>
      <c r="D20" s="13" t="s">
        <v>1864</v>
      </c>
      <c r="E20" s="13" t="s">
        <v>1865</v>
      </c>
      <c r="F20" s="5" t="s">
        <v>1866</v>
      </c>
      <c r="G20" s="5" t="s">
        <v>1867</v>
      </c>
      <c r="H20" s="6" t="s">
        <v>2389</v>
      </c>
      <c r="I20" s="7">
        <v>2014</v>
      </c>
      <c r="J20" s="7">
        <v>1</v>
      </c>
      <c r="K20" s="6" t="s">
        <v>1868</v>
      </c>
      <c r="L20" s="6" t="s">
        <v>568</v>
      </c>
      <c r="M20" s="7">
        <v>1</v>
      </c>
      <c r="N20" s="11" t="s">
        <v>2435</v>
      </c>
      <c r="O20" s="17" t="s">
        <v>1635</v>
      </c>
    </row>
    <row r="21" spans="1:15">
      <c r="A21" s="16">
        <v>20</v>
      </c>
      <c r="B21" s="6" t="s">
        <v>571</v>
      </c>
      <c r="C21" s="6" t="s">
        <v>1636</v>
      </c>
      <c r="D21" s="13" t="s">
        <v>2107</v>
      </c>
      <c r="E21" s="13" t="s">
        <v>2142</v>
      </c>
      <c r="F21" s="5" t="s">
        <v>2143</v>
      </c>
      <c r="G21" s="5" t="s">
        <v>2144</v>
      </c>
      <c r="H21" s="6" t="s">
        <v>2387</v>
      </c>
      <c r="I21" s="7">
        <v>2014</v>
      </c>
      <c r="J21" s="7">
        <v>1</v>
      </c>
      <c r="K21" s="6" t="s">
        <v>2145</v>
      </c>
      <c r="L21" s="6" t="s">
        <v>568</v>
      </c>
      <c r="M21" s="7">
        <v>1</v>
      </c>
      <c r="N21" s="11" t="s">
        <v>2423</v>
      </c>
      <c r="O21" s="17" t="s">
        <v>1635</v>
      </c>
    </row>
    <row r="22" spans="1:15">
      <c r="A22" s="16">
        <v>21</v>
      </c>
      <c r="B22" s="6" t="s">
        <v>571</v>
      </c>
      <c r="C22" s="6" t="s">
        <v>1636</v>
      </c>
      <c r="D22" s="13" t="s">
        <v>2282</v>
      </c>
      <c r="E22" s="13" t="s">
        <v>2283</v>
      </c>
      <c r="F22" s="5" t="s">
        <v>2284</v>
      </c>
      <c r="G22" s="5" t="s">
        <v>2285</v>
      </c>
      <c r="H22" s="6" t="s">
        <v>2384</v>
      </c>
      <c r="I22" s="7">
        <v>2014</v>
      </c>
      <c r="J22" s="7">
        <v>1</v>
      </c>
      <c r="K22" s="6" t="s">
        <v>2286</v>
      </c>
      <c r="L22" s="6" t="s">
        <v>568</v>
      </c>
      <c r="M22" s="7">
        <v>1</v>
      </c>
      <c r="N22" s="11" t="s">
        <v>2410</v>
      </c>
      <c r="O22" s="17" t="s">
        <v>1635</v>
      </c>
    </row>
    <row r="23" spans="1:15">
      <c r="A23" s="16">
        <v>22</v>
      </c>
      <c r="B23" s="6" t="s">
        <v>571</v>
      </c>
      <c r="C23" s="6" t="s">
        <v>1636</v>
      </c>
      <c r="D23" s="13" t="s">
        <v>1709</v>
      </c>
      <c r="E23" s="13" t="s">
        <v>2287</v>
      </c>
      <c r="F23" s="5" t="s">
        <v>2288</v>
      </c>
      <c r="G23" s="5" t="s">
        <v>2289</v>
      </c>
      <c r="H23" s="6" t="s">
        <v>2386</v>
      </c>
      <c r="I23" s="7">
        <v>2014</v>
      </c>
      <c r="J23" s="7">
        <v>1</v>
      </c>
      <c r="K23" s="6" t="s">
        <v>2290</v>
      </c>
      <c r="L23" s="6" t="s">
        <v>568</v>
      </c>
      <c r="M23" s="7">
        <v>1</v>
      </c>
      <c r="N23" s="11" t="s">
        <v>2419</v>
      </c>
      <c r="O23" s="17" t="s">
        <v>1635</v>
      </c>
    </row>
    <row r="24" spans="1:15">
      <c r="A24" s="16">
        <v>23</v>
      </c>
      <c r="B24" s="6" t="s">
        <v>571</v>
      </c>
      <c r="C24" s="6" t="s">
        <v>1636</v>
      </c>
      <c r="D24" s="13" t="s">
        <v>1709</v>
      </c>
      <c r="E24" s="13" t="s">
        <v>2103</v>
      </c>
      <c r="F24" s="5" t="s">
        <v>2104</v>
      </c>
      <c r="G24" s="5" t="s">
        <v>2105</v>
      </c>
      <c r="H24" s="6" t="s">
        <v>2106</v>
      </c>
      <c r="I24" s="7">
        <v>2014</v>
      </c>
      <c r="J24" s="7">
        <v>1</v>
      </c>
      <c r="K24" s="6" t="s">
        <v>943</v>
      </c>
      <c r="L24" s="6" t="s">
        <v>568</v>
      </c>
      <c r="M24" s="7">
        <v>1</v>
      </c>
      <c r="N24" s="11" t="s">
        <v>2413</v>
      </c>
      <c r="O24" s="17" t="s">
        <v>1635</v>
      </c>
    </row>
    <row r="25" spans="1:15">
      <c r="A25" s="16">
        <v>24</v>
      </c>
      <c r="B25" s="6" t="s">
        <v>571</v>
      </c>
      <c r="C25" s="6" t="s">
        <v>1636</v>
      </c>
      <c r="D25" s="13" t="s">
        <v>2107</v>
      </c>
      <c r="E25" s="13" t="s">
        <v>2108</v>
      </c>
      <c r="F25" s="5" t="s">
        <v>2109</v>
      </c>
      <c r="G25" s="5" t="s">
        <v>2110</v>
      </c>
      <c r="H25" s="6" t="s">
        <v>2111</v>
      </c>
      <c r="I25" s="7">
        <v>2014</v>
      </c>
      <c r="J25" s="7">
        <v>1</v>
      </c>
      <c r="K25" s="6" t="s">
        <v>2112</v>
      </c>
      <c r="L25" s="6" t="s">
        <v>568</v>
      </c>
      <c r="M25" s="7">
        <v>1</v>
      </c>
      <c r="N25" s="11" t="s">
        <v>2425</v>
      </c>
      <c r="O25" s="17" t="s">
        <v>1635</v>
      </c>
    </row>
    <row r="26" spans="1:15">
      <c r="A26" s="16">
        <v>25</v>
      </c>
      <c r="B26" s="6" t="s">
        <v>571</v>
      </c>
      <c r="C26" s="6" t="s">
        <v>1636</v>
      </c>
      <c r="D26" s="13" t="s">
        <v>2146</v>
      </c>
      <c r="E26" s="13" t="s">
        <v>2147</v>
      </c>
      <c r="F26" s="5" t="s">
        <v>2148</v>
      </c>
      <c r="G26" s="5" t="s">
        <v>2149</v>
      </c>
      <c r="H26" s="6" t="s">
        <v>2150</v>
      </c>
      <c r="I26" s="7">
        <v>2014</v>
      </c>
      <c r="J26" s="7">
        <v>1</v>
      </c>
      <c r="K26" s="6" t="s">
        <v>547</v>
      </c>
      <c r="L26" s="6" t="s">
        <v>568</v>
      </c>
      <c r="M26" s="7">
        <v>1</v>
      </c>
      <c r="N26" s="11" t="s">
        <v>2415</v>
      </c>
      <c r="O26" s="17" t="s">
        <v>1635</v>
      </c>
    </row>
    <row r="27" spans="1:15">
      <c r="A27" s="16">
        <v>26</v>
      </c>
      <c r="B27" s="6" t="s">
        <v>571</v>
      </c>
      <c r="C27" s="6" t="s">
        <v>1636</v>
      </c>
      <c r="D27" s="13" t="s">
        <v>2107</v>
      </c>
      <c r="E27" s="13" t="s">
        <v>2163</v>
      </c>
      <c r="F27" s="5" t="s">
        <v>2164</v>
      </c>
      <c r="G27" s="5" t="s">
        <v>2165</v>
      </c>
      <c r="H27" s="6" t="s">
        <v>2166</v>
      </c>
      <c r="I27" s="7">
        <v>2014</v>
      </c>
      <c r="J27" s="7">
        <v>1</v>
      </c>
      <c r="K27" s="6" t="s">
        <v>2167</v>
      </c>
      <c r="L27" s="6" t="s">
        <v>568</v>
      </c>
      <c r="M27" s="7">
        <v>1</v>
      </c>
      <c r="N27" s="11" t="s">
        <v>2426</v>
      </c>
      <c r="O27" s="17" t="s">
        <v>1635</v>
      </c>
    </row>
    <row r="28" spans="1:15">
      <c r="A28" s="16">
        <v>27</v>
      </c>
      <c r="B28" s="6" t="s">
        <v>571</v>
      </c>
      <c r="C28" s="6" t="s">
        <v>1636</v>
      </c>
      <c r="D28" s="13" t="s">
        <v>2291</v>
      </c>
      <c r="E28" s="13" t="s">
        <v>2292</v>
      </c>
      <c r="F28" s="5" t="s">
        <v>2293</v>
      </c>
      <c r="G28" s="5" t="s">
        <v>2294</v>
      </c>
      <c r="H28" s="6" t="s">
        <v>2295</v>
      </c>
      <c r="I28" s="7">
        <v>2014</v>
      </c>
      <c r="J28" s="7">
        <v>1</v>
      </c>
      <c r="K28" s="6" t="s">
        <v>2296</v>
      </c>
      <c r="L28" s="6" t="s">
        <v>568</v>
      </c>
      <c r="M28" s="7">
        <v>1</v>
      </c>
      <c r="N28" s="11" t="s">
        <v>2406</v>
      </c>
      <c r="O28" s="17" t="s">
        <v>1635</v>
      </c>
    </row>
    <row r="29" spans="1:15">
      <c r="A29" s="16">
        <v>28</v>
      </c>
      <c r="B29" s="6" t="s">
        <v>571</v>
      </c>
      <c r="C29" s="6" t="s">
        <v>1636</v>
      </c>
      <c r="D29" s="13" t="s">
        <v>2337</v>
      </c>
      <c r="E29" s="13" t="s">
        <v>2338</v>
      </c>
      <c r="F29" s="5" t="s">
        <v>2339</v>
      </c>
      <c r="G29" s="5" t="s">
        <v>2340</v>
      </c>
      <c r="H29" s="6" t="s">
        <v>2341</v>
      </c>
      <c r="I29" s="7">
        <v>2014</v>
      </c>
      <c r="J29" s="7">
        <v>1</v>
      </c>
      <c r="K29" s="6" t="s">
        <v>161</v>
      </c>
      <c r="L29" s="6" t="s">
        <v>568</v>
      </c>
      <c r="M29" s="7">
        <v>1</v>
      </c>
      <c r="N29" s="11" t="s">
        <v>2428</v>
      </c>
      <c r="O29" s="17" t="s">
        <v>1635</v>
      </c>
    </row>
    <row r="30" spans="1:15">
      <c r="A30" s="16">
        <v>29</v>
      </c>
      <c r="B30" s="6" t="s">
        <v>571</v>
      </c>
      <c r="C30" s="6" t="s">
        <v>1636</v>
      </c>
      <c r="D30" s="13" t="s">
        <v>2107</v>
      </c>
      <c r="E30" s="13" t="s">
        <v>2342</v>
      </c>
      <c r="F30" s="5" t="s">
        <v>2343</v>
      </c>
      <c r="G30" s="5" t="s">
        <v>2344</v>
      </c>
      <c r="H30" s="6" t="s">
        <v>2345</v>
      </c>
      <c r="I30" s="7">
        <v>2014</v>
      </c>
      <c r="J30" s="7">
        <v>1</v>
      </c>
      <c r="K30" s="6" t="s">
        <v>578</v>
      </c>
      <c r="L30" s="6" t="s">
        <v>568</v>
      </c>
      <c r="M30" s="7">
        <v>1</v>
      </c>
      <c r="N30" s="11" t="s">
        <v>2431</v>
      </c>
      <c r="O30" s="17" t="s">
        <v>1635</v>
      </c>
    </row>
    <row r="31" spans="1:15">
      <c r="A31" s="16">
        <v>30</v>
      </c>
      <c r="B31" s="6" t="s">
        <v>571</v>
      </c>
      <c r="C31" s="6" t="s">
        <v>1636</v>
      </c>
      <c r="D31" s="13" t="s">
        <v>2388</v>
      </c>
      <c r="E31" s="13" t="s">
        <v>2362</v>
      </c>
      <c r="F31" s="5" t="s">
        <v>2363</v>
      </c>
      <c r="G31" s="5" t="s">
        <v>2364</v>
      </c>
      <c r="H31" s="6" t="s">
        <v>2365</v>
      </c>
      <c r="I31" s="7">
        <v>2014</v>
      </c>
      <c r="J31" s="7">
        <v>1</v>
      </c>
      <c r="K31" s="6" t="s">
        <v>2366</v>
      </c>
      <c r="L31" s="6" t="s">
        <v>568</v>
      </c>
      <c r="M31" s="7">
        <v>1</v>
      </c>
      <c r="N31" s="11" t="s">
        <v>2433</v>
      </c>
      <c r="O31" s="17" t="s">
        <v>1635</v>
      </c>
    </row>
    <row r="32" spans="1:15">
      <c r="A32" s="16">
        <v>31</v>
      </c>
      <c r="B32" s="6" t="s">
        <v>571</v>
      </c>
      <c r="C32" s="6" t="s">
        <v>1628</v>
      </c>
      <c r="D32" s="13" t="s">
        <v>1913</v>
      </c>
      <c r="E32" s="13" t="s">
        <v>1914</v>
      </c>
      <c r="F32" s="5" t="s">
        <v>1915</v>
      </c>
      <c r="G32" s="5" t="s">
        <v>1916</v>
      </c>
      <c r="H32" s="6" t="s">
        <v>2390</v>
      </c>
      <c r="I32" s="7">
        <v>2014</v>
      </c>
      <c r="J32" s="7">
        <v>1</v>
      </c>
      <c r="K32" s="6" t="s">
        <v>161</v>
      </c>
      <c r="L32" s="6" t="s">
        <v>568</v>
      </c>
      <c r="M32" s="7">
        <v>1</v>
      </c>
      <c r="N32" s="11" t="s">
        <v>2436</v>
      </c>
      <c r="O32" s="17" t="s">
        <v>1635</v>
      </c>
    </row>
    <row r="33" spans="1:15">
      <c r="A33" s="16">
        <v>32</v>
      </c>
      <c r="B33" s="6" t="s">
        <v>571</v>
      </c>
      <c r="C33" s="6" t="s">
        <v>1628</v>
      </c>
      <c r="D33" s="13" t="s">
        <v>1917</v>
      </c>
      <c r="E33" s="13" t="s">
        <v>1918</v>
      </c>
      <c r="F33" s="5" t="s">
        <v>1919</v>
      </c>
      <c r="G33" s="5" t="s">
        <v>1920</v>
      </c>
      <c r="H33" s="6" t="s">
        <v>2391</v>
      </c>
      <c r="I33" s="7">
        <v>2014</v>
      </c>
      <c r="J33" s="7">
        <v>1</v>
      </c>
      <c r="K33" s="6" t="s">
        <v>161</v>
      </c>
      <c r="L33" s="6" t="s">
        <v>568</v>
      </c>
      <c r="M33" s="7">
        <v>1</v>
      </c>
      <c r="N33" s="11" t="s">
        <v>2438</v>
      </c>
      <c r="O33" s="17" t="s">
        <v>1635</v>
      </c>
    </row>
    <row r="34" spans="1:15">
      <c r="A34" s="16">
        <v>33</v>
      </c>
      <c r="B34" s="6" t="s">
        <v>571</v>
      </c>
      <c r="C34" s="6" t="s">
        <v>1628</v>
      </c>
      <c r="D34" s="13" t="s">
        <v>1629</v>
      </c>
      <c r="E34" s="13" t="s">
        <v>1630</v>
      </c>
      <c r="F34" s="5" t="s">
        <v>1631</v>
      </c>
      <c r="G34" s="5" t="s">
        <v>1632</v>
      </c>
      <c r="H34" s="6" t="s">
        <v>1633</v>
      </c>
      <c r="I34" s="7">
        <v>2015</v>
      </c>
      <c r="J34" s="7">
        <v>1</v>
      </c>
      <c r="K34" s="6" t="s">
        <v>1634</v>
      </c>
      <c r="L34" s="6" t="s">
        <v>568</v>
      </c>
      <c r="M34" s="7">
        <v>1</v>
      </c>
      <c r="N34" s="11" t="s">
        <v>2437</v>
      </c>
      <c r="O34" s="17" t="s">
        <v>1635</v>
      </c>
    </row>
    <row r="35" spans="1:15">
      <c r="A35" s="16">
        <v>34</v>
      </c>
      <c r="B35" s="6" t="s">
        <v>571</v>
      </c>
      <c r="C35" s="6" t="s">
        <v>1669</v>
      </c>
      <c r="D35" s="13" t="s">
        <v>2074</v>
      </c>
      <c r="E35" s="13" t="s">
        <v>2075</v>
      </c>
      <c r="F35" s="5" t="s">
        <v>2076</v>
      </c>
      <c r="G35" s="5" t="s">
        <v>2077</v>
      </c>
      <c r="H35" s="6" t="s">
        <v>2078</v>
      </c>
      <c r="I35" s="7">
        <v>2009</v>
      </c>
      <c r="J35" s="7">
        <v>1</v>
      </c>
      <c r="K35" s="6" t="s">
        <v>2079</v>
      </c>
      <c r="L35" s="6" t="s">
        <v>569</v>
      </c>
      <c r="M35" s="7">
        <v>1</v>
      </c>
      <c r="N35" s="11" t="s">
        <v>2451</v>
      </c>
      <c r="O35" s="17" t="s">
        <v>1635</v>
      </c>
    </row>
    <row r="36" spans="1:15">
      <c r="A36" s="16">
        <v>35</v>
      </c>
      <c r="B36" s="6" t="s">
        <v>571</v>
      </c>
      <c r="C36" s="6" t="s">
        <v>1669</v>
      </c>
      <c r="D36" s="13" t="s">
        <v>504</v>
      </c>
      <c r="E36" s="13" t="s">
        <v>2168</v>
      </c>
      <c r="F36" s="5" t="s">
        <v>2169</v>
      </c>
      <c r="G36" s="5" t="s">
        <v>2170</v>
      </c>
      <c r="H36" s="6" t="s">
        <v>2171</v>
      </c>
      <c r="I36" s="7">
        <v>2012</v>
      </c>
      <c r="J36" s="7">
        <v>1</v>
      </c>
      <c r="K36" s="6" t="s">
        <v>1323</v>
      </c>
      <c r="L36" s="6" t="s">
        <v>569</v>
      </c>
      <c r="M36" s="7">
        <v>1</v>
      </c>
      <c r="N36" s="11" t="s">
        <v>2463</v>
      </c>
      <c r="O36" s="17" t="s">
        <v>1635</v>
      </c>
    </row>
    <row r="37" spans="1:15">
      <c r="A37" s="16">
        <v>36</v>
      </c>
      <c r="B37" s="6" t="s">
        <v>571</v>
      </c>
      <c r="C37" s="6" t="s">
        <v>1669</v>
      </c>
      <c r="D37" s="13" t="s">
        <v>2393</v>
      </c>
      <c r="E37" s="13" t="s">
        <v>1676</v>
      </c>
      <c r="F37" s="5" t="s">
        <v>1677</v>
      </c>
      <c r="G37" s="5" t="s">
        <v>1678</v>
      </c>
      <c r="H37" s="6" t="s">
        <v>1679</v>
      </c>
      <c r="I37" s="7">
        <v>2013</v>
      </c>
      <c r="J37" s="7">
        <v>1</v>
      </c>
      <c r="K37" s="6" t="s">
        <v>1238</v>
      </c>
      <c r="L37" s="6" t="s">
        <v>569</v>
      </c>
      <c r="M37" s="7">
        <v>1</v>
      </c>
      <c r="N37" s="11" t="s">
        <v>2448</v>
      </c>
      <c r="O37" s="17" t="s">
        <v>1635</v>
      </c>
    </row>
    <row r="38" spans="1:15">
      <c r="A38" s="16">
        <v>37</v>
      </c>
      <c r="B38" s="6" t="s">
        <v>571</v>
      </c>
      <c r="C38" s="6" t="s">
        <v>1669</v>
      </c>
      <c r="D38" s="13" t="s">
        <v>1853</v>
      </c>
      <c r="E38" s="13" t="s">
        <v>1854</v>
      </c>
      <c r="F38" s="5" t="s">
        <v>1855</v>
      </c>
      <c r="G38" s="5" t="s">
        <v>1856</v>
      </c>
      <c r="H38" s="6" t="s">
        <v>1857</v>
      </c>
      <c r="I38" s="7">
        <v>2013</v>
      </c>
      <c r="J38" s="7">
        <v>1</v>
      </c>
      <c r="K38" s="6" t="s">
        <v>1858</v>
      </c>
      <c r="L38" s="6" t="s">
        <v>569</v>
      </c>
      <c r="M38" s="7">
        <v>1</v>
      </c>
      <c r="N38" s="11" t="s">
        <v>2440</v>
      </c>
      <c r="O38" s="17" t="s">
        <v>1635</v>
      </c>
    </row>
    <row r="39" spans="1:15">
      <c r="A39" s="16">
        <v>38</v>
      </c>
      <c r="B39" s="6" t="s">
        <v>571</v>
      </c>
      <c r="C39" s="6" t="s">
        <v>1669</v>
      </c>
      <c r="D39" s="13" t="s">
        <v>2392</v>
      </c>
      <c r="E39" s="13" t="s">
        <v>1921</v>
      </c>
      <c r="F39" s="5" t="s">
        <v>1922</v>
      </c>
      <c r="G39" s="5" t="s">
        <v>1923</v>
      </c>
      <c r="H39" s="6" t="s">
        <v>1924</v>
      </c>
      <c r="I39" s="7">
        <v>2013</v>
      </c>
      <c r="J39" s="7">
        <v>1</v>
      </c>
      <c r="K39" s="6" t="s">
        <v>1925</v>
      </c>
      <c r="L39" s="6" t="s">
        <v>569</v>
      </c>
      <c r="M39" s="7">
        <v>1</v>
      </c>
      <c r="N39" s="11" t="s">
        <v>2441</v>
      </c>
      <c r="O39" s="17" t="s">
        <v>1635</v>
      </c>
    </row>
    <row r="40" spans="1:15">
      <c r="A40" s="16">
        <v>39</v>
      </c>
      <c r="B40" s="6" t="s">
        <v>571</v>
      </c>
      <c r="C40" s="6" t="s">
        <v>1669</v>
      </c>
      <c r="D40" s="13" t="s">
        <v>1943</v>
      </c>
      <c r="E40" s="13" t="s">
        <v>1944</v>
      </c>
      <c r="F40" s="5" t="s">
        <v>1945</v>
      </c>
      <c r="G40" s="5" t="s">
        <v>1946</v>
      </c>
      <c r="H40" s="6" t="s">
        <v>1947</v>
      </c>
      <c r="I40" s="7">
        <v>2013</v>
      </c>
      <c r="J40" s="7">
        <v>1</v>
      </c>
      <c r="K40" s="6" t="s">
        <v>1948</v>
      </c>
      <c r="L40" s="6" t="s">
        <v>569</v>
      </c>
      <c r="M40" s="7">
        <v>1</v>
      </c>
      <c r="N40" s="11" t="s">
        <v>2447</v>
      </c>
      <c r="O40" s="17" t="s">
        <v>1635</v>
      </c>
    </row>
    <row r="41" spans="1:15">
      <c r="A41" s="16">
        <v>40</v>
      </c>
      <c r="B41" s="6" t="s">
        <v>571</v>
      </c>
      <c r="C41" s="6" t="s">
        <v>1669</v>
      </c>
      <c r="D41" s="13" t="s">
        <v>1637</v>
      </c>
      <c r="E41" s="13" t="s">
        <v>1971</v>
      </c>
      <c r="F41" s="5" t="s">
        <v>1972</v>
      </c>
      <c r="G41" s="5" t="s">
        <v>1973</v>
      </c>
      <c r="H41" s="6" t="s">
        <v>1974</v>
      </c>
      <c r="I41" s="7">
        <v>2013</v>
      </c>
      <c r="J41" s="7">
        <v>1</v>
      </c>
      <c r="K41" s="6" t="s">
        <v>1975</v>
      </c>
      <c r="L41" s="6" t="s">
        <v>1233</v>
      </c>
      <c r="M41" s="7">
        <v>1</v>
      </c>
      <c r="N41" s="11" t="s">
        <v>2439</v>
      </c>
      <c r="O41" s="17" t="s">
        <v>1635</v>
      </c>
    </row>
    <row r="42" spans="1:15">
      <c r="A42" s="16">
        <v>41</v>
      </c>
      <c r="B42" s="6" t="s">
        <v>571</v>
      </c>
      <c r="C42" s="6" t="s">
        <v>1669</v>
      </c>
      <c r="D42" s="13" t="s">
        <v>1981</v>
      </c>
      <c r="E42" s="13" t="s">
        <v>1982</v>
      </c>
      <c r="F42" s="5" t="s">
        <v>1983</v>
      </c>
      <c r="G42" s="5" t="s">
        <v>1984</v>
      </c>
      <c r="H42" s="6" t="s">
        <v>1985</v>
      </c>
      <c r="I42" s="7">
        <v>2013</v>
      </c>
      <c r="J42" s="7">
        <v>1</v>
      </c>
      <c r="K42" s="6" t="s">
        <v>1986</v>
      </c>
      <c r="L42" s="6" t="s">
        <v>569</v>
      </c>
      <c r="M42" s="7">
        <v>1</v>
      </c>
      <c r="N42" s="11" t="s">
        <v>2456</v>
      </c>
      <c r="O42" s="17" t="s">
        <v>1635</v>
      </c>
    </row>
    <row r="43" spans="1:15">
      <c r="A43" s="16">
        <v>42</v>
      </c>
      <c r="B43" s="6" t="s">
        <v>571</v>
      </c>
      <c r="C43" s="6" t="s">
        <v>1669</v>
      </c>
      <c r="D43" s="13" t="s">
        <v>1987</v>
      </c>
      <c r="E43" s="13" t="s">
        <v>1988</v>
      </c>
      <c r="F43" s="5" t="s">
        <v>1989</v>
      </c>
      <c r="G43" s="5" t="s">
        <v>1990</v>
      </c>
      <c r="H43" s="6" t="s">
        <v>1991</v>
      </c>
      <c r="I43" s="7">
        <v>2013</v>
      </c>
      <c r="J43" s="7">
        <v>1</v>
      </c>
      <c r="K43" s="6" t="s">
        <v>1992</v>
      </c>
      <c r="L43" s="6" t="s">
        <v>569</v>
      </c>
      <c r="M43" s="7">
        <v>1</v>
      </c>
      <c r="N43" s="11" t="s">
        <v>2457</v>
      </c>
      <c r="O43" s="17" t="s">
        <v>1635</v>
      </c>
    </row>
    <row r="44" spans="1:15">
      <c r="A44" s="16">
        <v>43</v>
      </c>
      <c r="B44" s="6" t="s">
        <v>571</v>
      </c>
      <c r="C44" s="6" t="s">
        <v>1669</v>
      </c>
      <c r="D44" s="13" t="s">
        <v>2080</v>
      </c>
      <c r="E44" s="13" t="s">
        <v>2081</v>
      </c>
      <c r="F44" s="5" t="s">
        <v>2082</v>
      </c>
      <c r="G44" s="5" t="s">
        <v>2083</v>
      </c>
      <c r="H44" s="6" t="s">
        <v>2084</v>
      </c>
      <c r="I44" s="7">
        <v>2013</v>
      </c>
      <c r="J44" s="7">
        <v>1</v>
      </c>
      <c r="K44" s="6" t="s">
        <v>2085</v>
      </c>
      <c r="L44" s="6" t="s">
        <v>569</v>
      </c>
      <c r="M44" s="7">
        <v>1</v>
      </c>
      <c r="N44" s="11" t="s">
        <v>2450</v>
      </c>
      <c r="O44" s="17" t="s">
        <v>1635</v>
      </c>
    </row>
    <row r="45" spans="1:15">
      <c r="A45" s="16">
        <v>44</v>
      </c>
      <c r="B45" s="6" t="s">
        <v>571</v>
      </c>
      <c r="C45" s="6" t="s">
        <v>1669</v>
      </c>
      <c r="D45" s="13" t="s">
        <v>1637</v>
      </c>
      <c r="E45" s="13" t="s">
        <v>2098</v>
      </c>
      <c r="F45" s="5" t="s">
        <v>2099</v>
      </c>
      <c r="G45" s="5" t="s">
        <v>2100</v>
      </c>
      <c r="H45" s="6" t="s">
        <v>2101</v>
      </c>
      <c r="I45" s="7">
        <v>2013</v>
      </c>
      <c r="J45" s="7">
        <v>1</v>
      </c>
      <c r="K45" s="6" t="s">
        <v>2102</v>
      </c>
      <c r="L45" s="6" t="s">
        <v>569</v>
      </c>
      <c r="M45" s="7">
        <v>1</v>
      </c>
      <c r="N45" s="11" t="s">
        <v>2452</v>
      </c>
      <c r="O45" s="17" t="s">
        <v>1635</v>
      </c>
    </row>
    <row r="46" spans="1:15">
      <c r="A46" s="16">
        <v>45</v>
      </c>
      <c r="B46" s="6" t="s">
        <v>571</v>
      </c>
      <c r="C46" s="6" t="s">
        <v>1669</v>
      </c>
      <c r="D46" s="13" t="s">
        <v>2271</v>
      </c>
      <c r="E46" s="13" t="s">
        <v>2272</v>
      </c>
      <c r="F46" s="5" t="s">
        <v>2273</v>
      </c>
      <c r="G46" s="5" t="s">
        <v>2274</v>
      </c>
      <c r="H46" s="6" t="s">
        <v>2275</v>
      </c>
      <c r="I46" s="7">
        <v>2013</v>
      </c>
      <c r="J46" s="7">
        <v>1</v>
      </c>
      <c r="K46" s="6" t="s">
        <v>2276</v>
      </c>
      <c r="L46" s="6" t="s">
        <v>569</v>
      </c>
      <c r="M46" s="7">
        <v>1</v>
      </c>
      <c r="N46" s="11" t="s">
        <v>2458</v>
      </c>
      <c r="O46" s="17" t="s">
        <v>1635</v>
      </c>
    </row>
    <row r="47" spans="1:15">
      <c r="A47" s="16">
        <v>46</v>
      </c>
      <c r="B47" s="6" t="s">
        <v>571</v>
      </c>
      <c r="C47" s="6" t="s">
        <v>1669</v>
      </c>
      <c r="D47" s="13" t="s">
        <v>1670</v>
      </c>
      <c r="E47" s="13" t="s">
        <v>1671</v>
      </c>
      <c r="F47" s="5" t="s">
        <v>1672</v>
      </c>
      <c r="G47" s="5" t="s">
        <v>1673</v>
      </c>
      <c r="H47" s="6" t="s">
        <v>1674</v>
      </c>
      <c r="I47" s="7">
        <v>2014</v>
      </c>
      <c r="J47" s="7">
        <v>1</v>
      </c>
      <c r="K47" s="6" t="s">
        <v>1675</v>
      </c>
      <c r="L47" s="6" t="s">
        <v>569</v>
      </c>
      <c r="M47" s="7">
        <v>1</v>
      </c>
      <c r="N47" s="11" t="s">
        <v>2454</v>
      </c>
      <c r="O47" s="17" t="s">
        <v>1635</v>
      </c>
    </row>
    <row r="48" spans="1:15">
      <c r="A48" s="16">
        <v>47</v>
      </c>
      <c r="B48" s="6" t="s">
        <v>571</v>
      </c>
      <c r="C48" s="6" t="s">
        <v>1669</v>
      </c>
      <c r="D48" s="13" t="s">
        <v>1686</v>
      </c>
      <c r="E48" s="13" t="s">
        <v>1687</v>
      </c>
      <c r="F48" s="5" t="s">
        <v>1688</v>
      </c>
      <c r="G48" s="5" t="s">
        <v>1689</v>
      </c>
      <c r="H48" s="6" t="s">
        <v>1690</v>
      </c>
      <c r="I48" s="7">
        <v>2014</v>
      </c>
      <c r="J48" s="7">
        <v>1</v>
      </c>
      <c r="K48" s="6" t="s">
        <v>1581</v>
      </c>
      <c r="L48" s="6" t="s">
        <v>569</v>
      </c>
      <c r="M48" s="7">
        <v>1</v>
      </c>
      <c r="N48" s="11" t="s">
        <v>2461</v>
      </c>
      <c r="O48" s="17" t="s">
        <v>1635</v>
      </c>
    </row>
    <row r="49" spans="1:15">
      <c r="A49" s="16">
        <v>48</v>
      </c>
      <c r="B49" s="6" t="s">
        <v>571</v>
      </c>
      <c r="C49" s="6" t="s">
        <v>1669</v>
      </c>
      <c r="D49" s="13" t="s">
        <v>1793</v>
      </c>
      <c r="E49" s="13" t="s">
        <v>1816</v>
      </c>
      <c r="F49" s="5" t="s">
        <v>1817</v>
      </c>
      <c r="G49" s="5" t="s">
        <v>1818</v>
      </c>
      <c r="H49" s="6" t="s">
        <v>1819</v>
      </c>
      <c r="I49" s="7">
        <v>2014</v>
      </c>
      <c r="J49" s="7">
        <v>1</v>
      </c>
      <c r="K49" s="6" t="s">
        <v>1820</v>
      </c>
      <c r="L49" s="6" t="s">
        <v>569</v>
      </c>
      <c r="M49" s="7">
        <v>1</v>
      </c>
      <c r="N49" s="11" t="s">
        <v>2444</v>
      </c>
      <c r="O49" s="17" t="s">
        <v>1635</v>
      </c>
    </row>
    <row r="50" spans="1:15">
      <c r="A50" s="16">
        <v>49</v>
      </c>
      <c r="B50" s="6" t="s">
        <v>571</v>
      </c>
      <c r="C50" s="6" t="s">
        <v>1669</v>
      </c>
      <c r="D50" s="13" t="s">
        <v>1821</v>
      </c>
      <c r="E50" s="13" t="s">
        <v>1822</v>
      </c>
      <c r="F50" s="5" t="s">
        <v>1823</v>
      </c>
      <c r="G50" s="5" t="s">
        <v>1824</v>
      </c>
      <c r="H50" s="6" t="s">
        <v>1825</v>
      </c>
      <c r="I50" s="7">
        <v>2014</v>
      </c>
      <c r="J50" s="7">
        <v>1</v>
      </c>
      <c r="K50" s="6" t="s">
        <v>1826</v>
      </c>
      <c r="L50" s="6" t="s">
        <v>569</v>
      </c>
      <c r="M50" s="7">
        <v>1</v>
      </c>
      <c r="N50" s="11" t="s">
        <v>2445</v>
      </c>
      <c r="O50" s="17" t="s">
        <v>1635</v>
      </c>
    </row>
    <row r="51" spans="1:15">
      <c r="A51" s="16">
        <v>50</v>
      </c>
      <c r="B51" s="6" t="s">
        <v>571</v>
      </c>
      <c r="C51" s="6" t="s">
        <v>1669</v>
      </c>
      <c r="D51" s="13" t="s">
        <v>1793</v>
      </c>
      <c r="E51" s="13" t="s">
        <v>1960</v>
      </c>
      <c r="F51" s="5" t="s">
        <v>1961</v>
      </c>
      <c r="G51" s="5" t="s">
        <v>1962</v>
      </c>
      <c r="H51" s="6" t="s">
        <v>1963</v>
      </c>
      <c r="I51" s="7">
        <v>2014</v>
      </c>
      <c r="J51" s="7">
        <v>1</v>
      </c>
      <c r="K51" s="6" t="s">
        <v>1964</v>
      </c>
      <c r="L51" s="6" t="s">
        <v>569</v>
      </c>
      <c r="M51" s="7">
        <v>1</v>
      </c>
      <c r="N51" s="11" t="s">
        <v>2443</v>
      </c>
      <c r="O51" s="17" t="s">
        <v>1635</v>
      </c>
    </row>
    <row r="52" spans="1:15">
      <c r="A52" s="16">
        <v>51</v>
      </c>
      <c r="B52" s="6" t="s">
        <v>571</v>
      </c>
      <c r="C52" s="6" t="s">
        <v>1669</v>
      </c>
      <c r="D52" s="13" t="s">
        <v>2395</v>
      </c>
      <c r="E52" s="13" t="s">
        <v>1976</v>
      </c>
      <c r="F52" s="5" t="s">
        <v>1977</v>
      </c>
      <c r="G52" s="5" t="s">
        <v>1978</v>
      </c>
      <c r="H52" s="6" t="s">
        <v>1979</v>
      </c>
      <c r="I52" s="7">
        <v>2014</v>
      </c>
      <c r="J52" s="7">
        <v>1</v>
      </c>
      <c r="K52" s="6" t="s">
        <v>1980</v>
      </c>
      <c r="L52" s="6" t="s">
        <v>569</v>
      </c>
      <c r="M52" s="7">
        <v>1</v>
      </c>
      <c r="N52" s="11" t="s">
        <v>2459</v>
      </c>
      <c r="O52" s="17" t="s">
        <v>1635</v>
      </c>
    </row>
    <row r="53" spans="1:15">
      <c r="A53" s="16">
        <v>52</v>
      </c>
      <c r="B53" s="6" t="s">
        <v>571</v>
      </c>
      <c r="C53" s="6" t="s">
        <v>1669</v>
      </c>
      <c r="D53" s="13" t="s">
        <v>2392</v>
      </c>
      <c r="E53" s="13" t="s">
        <v>1993</v>
      </c>
      <c r="F53" s="5" t="s">
        <v>1994</v>
      </c>
      <c r="G53" s="5" t="s">
        <v>1995</v>
      </c>
      <c r="H53" s="6" t="s">
        <v>1996</v>
      </c>
      <c r="I53" s="7">
        <v>2014</v>
      </c>
      <c r="J53" s="7">
        <v>1</v>
      </c>
      <c r="K53" s="6" t="s">
        <v>1997</v>
      </c>
      <c r="L53" s="6" t="s">
        <v>569</v>
      </c>
      <c r="M53" s="7">
        <v>1</v>
      </c>
      <c r="N53" s="11" t="s">
        <v>2449</v>
      </c>
      <c r="O53" s="17" t="s">
        <v>1635</v>
      </c>
    </row>
    <row r="54" spans="1:15">
      <c r="A54" s="16">
        <v>53</v>
      </c>
      <c r="B54" s="6" t="s">
        <v>571</v>
      </c>
      <c r="C54" s="6" t="s">
        <v>1669</v>
      </c>
      <c r="D54" s="13" t="s">
        <v>2393</v>
      </c>
      <c r="E54" s="13" t="s">
        <v>2004</v>
      </c>
      <c r="F54" s="5" t="s">
        <v>2005</v>
      </c>
      <c r="G54" s="5" t="s">
        <v>2006</v>
      </c>
      <c r="H54" s="6" t="s">
        <v>2007</v>
      </c>
      <c r="I54" s="7">
        <v>2014</v>
      </c>
      <c r="J54" s="7">
        <v>1</v>
      </c>
      <c r="K54" s="6" t="s">
        <v>2008</v>
      </c>
      <c r="L54" s="6" t="s">
        <v>569</v>
      </c>
      <c r="M54" s="7">
        <v>1</v>
      </c>
      <c r="N54" s="11" t="s">
        <v>2446</v>
      </c>
      <c r="O54" s="17" t="s">
        <v>1635</v>
      </c>
    </row>
    <row r="55" spans="1:15">
      <c r="A55" s="16">
        <v>54</v>
      </c>
      <c r="B55" s="6" t="s">
        <v>571</v>
      </c>
      <c r="C55" s="6" t="s">
        <v>1669</v>
      </c>
      <c r="D55" s="13" t="s">
        <v>2392</v>
      </c>
      <c r="E55" s="13" t="s">
        <v>2032</v>
      </c>
      <c r="F55" s="5" t="s">
        <v>2033</v>
      </c>
      <c r="G55" s="5" t="s">
        <v>2034</v>
      </c>
      <c r="H55" s="6" t="s">
        <v>2035</v>
      </c>
      <c r="I55" s="7">
        <v>2014</v>
      </c>
      <c r="J55" s="7">
        <v>1</v>
      </c>
      <c r="K55" s="6" t="s">
        <v>1685</v>
      </c>
      <c r="L55" s="6" t="s">
        <v>569</v>
      </c>
      <c r="M55" s="7">
        <v>1</v>
      </c>
      <c r="N55" s="11" t="s">
        <v>2455</v>
      </c>
      <c r="O55" s="17" t="s">
        <v>1635</v>
      </c>
    </row>
    <row r="56" spans="1:15">
      <c r="A56" s="16">
        <v>55</v>
      </c>
      <c r="B56" s="6" t="s">
        <v>571</v>
      </c>
      <c r="C56" s="6" t="s">
        <v>1669</v>
      </c>
      <c r="D56" s="13" t="s">
        <v>1859</v>
      </c>
      <c r="E56" s="13" t="s">
        <v>1860</v>
      </c>
      <c r="F56" s="5" t="s">
        <v>1861</v>
      </c>
      <c r="G56" s="5" t="s">
        <v>1862</v>
      </c>
      <c r="H56" s="6" t="s">
        <v>2396</v>
      </c>
      <c r="I56" s="7">
        <v>2014</v>
      </c>
      <c r="J56" s="7">
        <v>1</v>
      </c>
      <c r="K56" s="6" t="s">
        <v>1863</v>
      </c>
      <c r="L56" s="6" t="s">
        <v>569</v>
      </c>
      <c r="M56" s="7">
        <v>1</v>
      </c>
      <c r="N56" s="11" t="s">
        <v>2460</v>
      </c>
      <c r="O56" s="17" t="s">
        <v>1635</v>
      </c>
    </row>
    <row r="57" spans="1:15">
      <c r="A57" s="16">
        <v>56</v>
      </c>
      <c r="B57" s="6" t="s">
        <v>571</v>
      </c>
      <c r="C57" s="6" t="s">
        <v>1669</v>
      </c>
      <c r="D57" s="13" t="s">
        <v>1686</v>
      </c>
      <c r="E57" s="13" t="s">
        <v>2070</v>
      </c>
      <c r="F57" s="5" t="s">
        <v>2071</v>
      </c>
      <c r="G57" s="5" t="s">
        <v>2072</v>
      </c>
      <c r="H57" s="6" t="s">
        <v>2397</v>
      </c>
      <c r="I57" s="7">
        <v>2014</v>
      </c>
      <c r="J57" s="7">
        <v>1</v>
      </c>
      <c r="K57" s="6" t="s">
        <v>2073</v>
      </c>
      <c r="L57" s="6" t="s">
        <v>569</v>
      </c>
      <c r="M57" s="7">
        <v>1</v>
      </c>
      <c r="N57" s="11" t="s">
        <v>2462</v>
      </c>
      <c r="O57" s="17" t="s">
        <v>1635</v>
      </c>
    </row>
    <row r="58" spans="1:15">
      <c r="A58" s="16">
        <v>57</v>
      </c>
      <c r="B58" s="6" t="s">
        <v>571</v>
      </c>
      <c r="C58" s="6" t="s">
        <v>1669</v>
      </c>
      <c r="D58" s="13" t="s">
        <v>1793</v>
      </c>
      <c r="E58" s="13" t="s">
        <v>2223</v>
      </c>
      <c r="F58" s="5" t="s">
        <v>2224</v>
      </c>
      <c r="G58" s="5" t="s">
        <v>2225</v>
      </c>
      <c r="H58" s="6" t="s">
        <v>2226</v>
      </c>
      <c r="I58" s="7">
        <v>2014</v>
      </c>
      <c r="J58" s="7">
        <v>1</v>
      </c>
      <c r="K58" s="6" t="s">
        <v>2227</v>
      </c>
      <c r="L58" s="6" t="s">
        <v>569</v>
      </c>
      <c r="M58" s="7">
        <v>1</v>
      </c>
      <c r="N58" s="11" t="s">
        <v>2442</v>
      </c>
      <c r="O58" s="17" t="s">
        <v>1635</v>
      </c>
    </row>
    <row r="59" spans="1:15">
      <c r="A59" s="16">
        <v>58</v>
      </c>
      <c r="B59" s="6" t="s">
        <v>571</v>
      </c>
      <c r="C59" s="6" t="s">
        <v>1669</v>
      </c>
      <c r="D59" s="13" t="s">
        <v>2394</v>
      </c>
      <c r="E59" s="13" t="s">
        <v>2255</v>
      </c>
      <c r="F59" s="5" t="s">
        <v>2256</v>
      </c>
      <c r="G59" s="5" t="s">
        <v>2257</v>
      </c>
      <c r="H59" s="6" t="s">
        <v>2258</v>
      </c>
      <c r="I59" s="7">
        <v>2014</v>
      </c>
      <c r="J59" s="7">
        <v>1</v>
      </c>
      <c r="K59" s="6" t="s">
        <v>2254</v>
      </c>
      <c r="L59" s="6" t="s">
        <v>569</v>
      </c>
      <c r="M59" s="7">
        <v>1</v>
      </c>
      <c r="N59" s="11" t="s">
        <v>2453</v>
      </c>
      <c r="O59" s="17" t="s">
        <v>1635</v>
      </c>
    </row>
    <row r="60" spans="1:15">
      <c r="A60" s="16">
        <v>59</v>
      </c>
      <c r="B60" s="6" t="s">
        <v>571</v>
      </c>
      <c r="C60" s="6" t="s">
        <v>1643</v>
      </c>
      <c r="D60" s="13" t="s">
        <v>1691</v>
      </c>
      <c r="E60" s="13" t="s">
        <v>1692</v>
      </c>
      <c r="F60" s="5" t="s">
        <v>1693</v>
      </c>
      <c r="G60" s="5" t="s">
        <v>1694</v>
      </c>
      <c r="H60" s="6" t="s">
        <v>1695</v>
      </c>
      <c r="I60" s="7">
        <v>2013</v>
      </c>
      <c r="J60" s="7">
        <v>1</v>
      </c>
      <c r="K60" s="6" t="s">
        <v>1696</v>
      </c>
      <c r="L60" s="6" t="s">
        <v>569</v>
      </c>
      <c r="M60" s="7">
        <v>1</v>
      </c>
      <c r="N60" s="11" t="s">
        <v>2474</v>
      </c>
      <c r="O60" s="17" t="s">
        <v>1635</v>
      </c>
    </row>
    <row r="61" spans="1:15">
      <c r="A61" s="16">
        <v>60</v>
      </c>
      <c r="B61" s="6" t="s">
        <v>571</v>
      </c>
      <c r="C61" s="6" t="s">
        <v>1643</v>
      </c>
      <c r="D61" s="13" t="s">
        <v>496</v>
      </c>
      <c r="E61" s="13" t="s">
        <v>2214</v>
      </c>
      <c r="F61" s="5" t="s">
        <v>2215</v>
      </c>
      <c r="G61" s="5" t="s">
        <v>2216</v>
      </c>
      <c r="H61" s="6" t="s">
        <v>2217</v>
      </c>
      <c r="I61" s="7">
        <v>2013</v>
      </c>
      <c r="J61" s="7">
        <v>1</v>
      </c>
      <c r="K61" s="6" t="s">
        <v>2218</v>
      </c>
      <c r="L61" s="6" t="s">
        <v>569</v>
      </c>
      <c r="M61" s="7">
        <v>1</v>
      </c>
      <c r="N61" s="11" t="s">
        <v>2465</v>
      </c>
      <c r="O61" s="17" t="s">
        <v>1635</v>
      </c>
    </row>
    <row r="62" spans="1:15">
      <c r="A62" s="16">
        <v>61</v>
      </c>
      <c r="B62" s="6" t="s">
        <v>571</v>
      </c>
      <c r="C62" s="6" t="s">
        <v>1643</v>
      </c>
      <c r="D62" s="13" t="s">
        <v>1515</v>
      </c>
      <c r="E62" s="13" t="s">
        <v>1644</v>
      </c>
      <c r="F62" s="5" t="s">
        <v>1645</v>
      </c>
      <c r="G62" s="5" t="s">
        <v>1646</v>
      </c>
      <c r="H62" s="6" t="s">
        <v>1647</v>
      </c>
      <c r="I62" s="7">
        <v>2014</v>
      </c>
      <c r="J62" s="7">
        <v>1</v>
      </c>
      <c r="K62" s="6" t="s">
        <v>1648</v>
      </c>
      <c r="L62" s="6" t="s">
        <v>569</v>
      </c>
      <c r="M62" s="7">
        <v>1</v>
      </c>
      <c r="N62" s="11" t="s">
        <v>2468</v>
      </c>
      <c r="O62" s="17" t="s">
        <v>1635</v>
      </c>
    </row>
    <row r="63" spans="1:15">
      <c r="A63" s="16">
        <v>62</v>
      </c>
      <c r="B63" s="6" t="s">
        <v>571</v>
      </c>
      <c r="C63" s="6" t="s">
        <v>1643</v>
      </c>
      <c r="D63" s="13" t="s">
        <v>1703</v>
      </c>
      <c r="E63" s="13" t="s">
        <v>1704</v>
      </c>
      <c r="F63" s="5" t="s">
        <v>1705</v>
      </c>
      <c r="G63" s="5" t="s">
        <v>1706</v>
      </c>
      <c r="H63" s="6" t="s">
        <v>1707</v>
      </c>
      <c r="I63" s="7">
        <v>2014</v>
      </c>
      <c r="J63" s="7">
        <v>1</v>
      </c>
      <c r="K63" s="6" t="s">
        <v>1708</v>
      </c>
      <c r="L63" s="6" t="s">
        <v>569</v>
      </c>
      <c r="M63" s="7">
        <v>1</v>
      </c>
      <c r="N63" s="11" t="s">
        <v>2466</v>
      </c>
      <c r="O63" s="17" t="s">
        <v>1635</v>
      </c>
    </row>
    <row r="64" spans="1:15">
      <c r="A64" s="16">
        <v>63</v>
      </c>
      <c r="B64" s="6" t="s">
        <v>571</v>
      </c>
      <c r="C64" s="6" t="s">
        <v>1643</v>
      </c>
      <c r="D64" s="13" t="s">
        <v>1714</v>
      </c>
      <c r="E64" s="13" t="s">
        <v>1715</v>
      </c>
      <c r="F64" s="5" t="s">
        <v>1716</v>
      </c>
      <c r="G64" s="5" t="s">
        <v>1717</v>
      </c>
      <c r="H64" s="6" t="s">
        <v>1718</v>
      </c>
      <c r="I64" s="7">
        <v>2014</v>
      </c>
      <c r="J64" s="7">
        <v>1</v>
      </c>
      <c r="K64" s="6" t="s">
        <v>1719</v>
      </c>
      <c r="L64" s="6" t="s">
        <v>569</v>
      </c>
      <c r="M64" s="7">
        <v>1</v>
      </c>
      <c r="N64" s="11" t="s">
        <v>2469</v>
      </c>
      <c r="O64" s="17" t="s">
        <v>1635</v>
      </c>
    </row>
    <row r="65" spans="1:15">
      <c r="A65" s="16">
        <v>64</v>
      </c>
      <c r="B65" s="6" t="s">
        <v>571</v>
      </c>
      <c r="C65" s="6" t="s">
        <v>1643</v>
      </c>
      <c r="D65" s="13" t="s">
        <v>1738</v>
      </c>
      <c r="E65" s="13" t="s">
        <v>1739</v>
      </c>
      <c r="F65" s="5" t="s">
        <v>1740</v>
      </c>
      <c r="G65" s="5" t="s">
        <v>1741</v>
      </c>
      <c r="H65" s="6" t="s">
        <v>1742</v>
      </c>
      <c r="I65" s="7">
        <v>2014</v>
      </c>
      <c r="J65" s="7">
        <v>1</v>
      </c>
      <c r="K65" s="6" t="s">
        <v>1743</v>
      </c>
      <c r="L65" s="6" t="s">
        <v>569</v>
      </c>
      <c r="M65" s="7">
        <v>1</v>
      </c>
      <c r="N65" s="11" t="s">
        <v>2471</v>
      </c>
      <c r="O65" s="17" t="s">
        <v>1635</v>
      </c>
    </row>
    <row r="66" spans="1:15">
      <c r="A66" s="16">
        <v>65</v>
      </c>
      <c r="B66" s="6" t="s">
        <v>571</v>
      </c>
      <c r="C66" s="6" t="s">
        <v>1643</v>
      </c>
      <c r="D66" s="13" t="s">
        <v>1714</v>
      </c>
      <c r="E66" s="13" t="s">
        <v>1754</v>
      </c>
      <c r="F66" s="5" t="s">
        <v>1755</v>
      </c>
      <c r="G66" s="5" t="s">
        <v>1756</v>
      </c>
      <c r="H66" s="6" t="s">
        <v>1757</v>
      </c>
      <c r="I66" s="7">
        <v>2014</v>
      </c>
      <c r="J66" s="7">
        <v>1</v>
      </c>
      <c r="K66" s="6" t="s">
        <v>1758</v>
      </c>
      <c r="L66" s="6" t="s">
        <v>569</v>
      </c>
      <c r="M66" s="7">
        <v>1</v>
      </c>
      <c r="N66" s="11" t="s">
        <v>2470</v>
      </c>
      <c r="O66" s="17" t="s">
        <v>1635</v>
      </c>
    </row>
    <row r="67" spans="1:15">
      <c r="A67" s="16">
        <v>66</v>
      </c>
      <c r="B67" s="6" t="s">
        <v>571</v>
      </c>
      <c r="C67" s="6" t="s">
        <v>1643</v>
      </c>
      <c r="D67" s="13" t="s">
        <v>1998</v>
      </c>
      <c r="E67" s="13" t="s">
        <v>1999</v>
      </c>
      <c r="F67" s="5" t="s">
        <v>2000</v>
      </c>
      <c r="G67" s="5" t="s">
        <v>2001</v>
      </c>
      <c r="H67" s="6" t="s">
        <v>2002</v>
      </c>
      <c r="I67" s="7">
        <v>2014</v>
      </c>
      <c r="J67" s="7">
        <v>1</v>
      </c>
      <c r="K67" s="6" t="s">
        <v>2003</v>
      </c>
      <c r="L67" s="6" t="s">
        <v>569</v>
      </c>
      <c r="M67" s="7">
        <v>1</v>
      </c>
      <c r="N67" s="11" t="s">
        <v>2472</v>
      </c>
      <c r="O67" s="17" t="s">
        <v>1635</v>
      </c>
    </row>
    <row r="68" spans="1:15">
      <c r="A68" s="16">
        <v>67</v>
      </c>
      <c r="B68" s="6" t="s">
        <v>571</v>
      </c>
      <c r="C68" s="6" t="s">
        <v>1643</v>
      </c>
      <c r="D68" s="13" t="s">
        <v>2086</v>
      </c>
      <c r="E68" s="13" t="s">
        <v>2206</v>
      </c>
      <c r="F68" s="5" t="s">
        <v>2207</v>
      </c>
      <c r="G68" s="5" t="s">
        <v>2208</v>
      </c>
      <c r="H68" s="6" t="s">
        <v>2209</v>
      </c>
      <c r="I68" s="7">
        <v>2014</v>
      </c>
      <c r="J68" s="7">
        <v>1</v>
      </c>
      <c r="K68" s="6" t="s">
        <v>1069</v>
      </c>
      <c r="L68" s="6" t="s">
        <v>569</v>
      </c>
      <c r="M68" s="7">
        <v>1</v>
      </c>
      <c r="N68" s="11" t="s">
        <v>2473</v>
      </c>
      <c r="O68" s="17" t="s">
        <v>1635</v>
      </c>
    </row>
    <row r="69" spans="1:15">
      <c r="A69" s="16">
        <v>68</v>
      </c>
      <c r="B69" s="6" t="s">
        <v>571</v>
      </c>
      <c r="C69" s="6" t="s">
        <v>1643</v>
      </c>
      <c r="D69" s="13" t="s">
        <v>2228</v>
      </c>
      <c r="E69" s="13" t="s">
        <v>2229</v>
      </c>
      <c r="F69" s="5" t="s">
        <v>2230</v>
      </c>
      <c r="G69" s="5" t="s">
        <v>2231</v>
      </c>
      <c r="H69" s="6" t="s">
        <v>2232</v>
      </c>
      <c r="I69" s="7">
        <v>2014</v>
      </c>
      <c r="J69" s="7">
        <v>1</v>
      </c>
      <c r="K69" s="6" t="s">
        <v>2233</v>
      </c>
      <c r="L69" s="6" t="s">
        <v>569</v>
      </c>
      <c r="M69" s="7">
        <v>1</v>
      </c>
      <c r="N69" s="11" t="s">
        <v>2464</v>
      </c>
      <c r="O69" s="17" t="s">
        <v>1635</v>
      </c>
    </row>
    <row r="70" spans="1:15">
      <c r="A70" s="16">
        <v>69</v>
      </c>
      <c r="B70" s="6" t="s">
        <v>571</v>
      </c>
      <c r="C70" s="6" t="s">
        <v>1643</v>
      </c>
      <c r="D70" s="13" t="s">
        <v>2332</v>
      </c>
      <c r="E70" s="13" t="s">
        <v>2333</v>
      </c>
      <c r="F70" s="5" t="s">
        <v>2334</v>
      </c>
      <c r="G70" s="5" t="s">
        <v>2335</v>
      </c>
      <c r="H70" s="6" t="s">
        <v>2336</v>
      </c>
      <c r="I70" s="7">
        <v>2014</v>
      </c>
      <c r="J70" s="7">
        <v>1</v>
      </c>
      <c r="K70" s="6" t="s">
        <v>2398</v>
      </c>
      <c r="L70" s="6" t="s">
        <v>569</v>
      </c>
      <c r="M70" s="7">
        <v>1</v>
      </c>
      <c r="N70" s="11" t="s">
        <v>2467</v>
      </c>
      <c r="O70" s="17" t="s">
        <v>1635</v>
      </c>
    </row>
    <row r="71" spans="1:15">
      <c r="A71" s="16">
        <v>70</v>
      </c>
      <c r="B71" s="6" t="s">
        <v>571</v>
      </c>
      <c r="C71" s="6" t="s">
        <v>1936</v>
      </c>
      <c r="D71" s="13" t="s">
        <v>1937</v>
      </c>
      <c r="E71" s="13" t="s">
        <v>1938</v>
      </c>
      <c r="F71" s="5" t="s">
        <v>1939</v>
      </c>
      <c r="G71" s="5" t="s">
        <v>1940</v>
      </c>
      <c r="H71" s="6" t="s">
        <v>1941</v>
      </c>
      <c r="I71" s="7">
        <v>2013</v>
      </c>
      <c r="J71" s="7">
        <v>1</v>
      </c>
      <c r="K71" s="6" t="s">
        <v>1942</v>
      </c>
      <c r="L71" s="6" t="s">
        <v>1233</v>
      </c>
      <c r="M71" s="7">
        <v>1</v>
      </c>
      <c r="N71" s="11" t="s">
        <v>2476</v>
      </c>
      <c r="O71" s="17" t="s">
        <v>1635</v>
      </c>
    </row>
    <row r="72" spans="1:15">
      <c r="A72" s="16">
        <v>71</v>
      </c>
      <c r="B72" s="6" t="s">
        <v>571</v>
      </c>
      <c r="C72" s="6" t="s">
        <v>1936</v>
      </c>
      <c r="D72" s="13" t="s">
        <v>1965</v>
      </c>
      <c r="E72" s="13" t="s">
        <v>1966</v>
      </c>
      <c r="F72" s="5" t="s">
        <v>1967</v>
      </c>
      <c r="G72" s="5" t="s">
        <v>1968</v>
      </c>
      <c r="H72" s="6" t="s">
        <v>1969</v>
      </c>
      <c r="I72" s="7">
        <v>2013</v>
      </c>
      <c r="J72" s="7">
        <v>1</v>
      </c>
      <c r="K72" s="6" t="s">
        <v>1970</v>
      </c>
      <c r="L72" s="6" t="s">
        <v>1233</v>
      </c>
      <c r="M72" s="7">
        <v>1</v>
      </c>
      <c r="N72" s="11" t="s">
        <v>2480</v>
      </c>
      <c r="O72" s="17" t="s">
        <v>1635</v>
      </c>
    </row>
    <row r="73" spans="1:15">
      <c r="A73" s="16">
        <v>72</v>
      </c>
      <c r="B73" s="6" t="s">
        <v>571</v>
      </c>
      <c r="C73" s="6" t="s">
        <v>1936</v>
      </c>
      <c r="D73" s="13" t="s">
        <v>2200</v>
      </c>
      <c r="E73" s="13" t="s">
        <v>2201</v>
      </c>
      <c r="F73" s="5" t="s">
        <v>2202</v>
      </c>
      <c r="G73" s="5" t="s">
        <v>2203</v>
      </c>
      <c r="H73" s="6" t="s">
        <v>2204</v>
      </c>
      <c r="I73" s="7">
        <v>2014</v>
      </c>
      <c r="J73" s="7">
        <v>1</v>
      </c>
      <c r="K73" s="6" t="s">
        <v>2205</v>
      </c>
      <c r="L73" s="6" t="s">
        <v>1233</v>
      </c>
      <c r="M73" s="7">
        <v>1</v>
      </c>
      <c r="N73" s="11" t="s">
        <v>2481</v>
      </c>
      <c r="O73" s="17" t="s">
        <v>1635</v>
      </c>
    </row>
    <row r="74" spans="1:15">
      <c r="A74" s="16">
        <v>73</v>
      </c>
      <c r="B74" s="6" t="s">
        <v>571</v>
      </c>
      <c r="C74" s="6" t="s">
        <v>1936</v>
      </c>
      <c r="D74" s="13" t="s">
        <v>2234</v>
      </c>
      <c r="E74" s="13" t="s">
        <v>2235</v>
      </c>
      <c r="F74" s="5" t="s">
        <v>2236</v>
      </c>
      <c r="G74" s="5" t="s">
        <v>2237</v>
      </c>
      <c r="H74" s="6" t="s">
        <v>2238</v>
      </c>
      <c r="I74" s="7">
        <v>2014</v>
      </c>
      <c r="J74" s="7">
        <v>1</v>
      </c>
      <c r="K74" s="6" t="s">
        <v>2239</v>
      </c>
      <c r="L74" s="6" t="s">
        <v>1233</v>
      </c>
      <c r="M74" s="7">
        <v>1</v>
      </c>
      <c r="N74" s="11" t="s">
        <v>2477</v>
      </c>
      <c r="O74" s="17" t="s">
        <v>1635</v>
      </c>
    </row>
    <row r="75" spans="1:15">
      <c r="A75" s="16">
        <v>74</v>
      </c>
      <c r="B75" s="6" t="s">
        <v>571</v>
      </c>
      <c r="C75" s="6" t="s">
        <v>1936</v>
      </c>
      <c r="D75" s="13" t="s">
        <v>2259</v>
      </c>
      <c r="E75" s="13" t="s">
        <v>2260</v>
      </c>
      <c r="F75" s="5" t="s">
        <v>2261</v>
      </c>
      <c r="G75" s="5" t="s">
        <v>2262</v>
      </c>
      <c r="H75" s="6" t="s">
        <v>2263</v>
      </c>
      <c r="I75" s="7">
        <v>2014</v>
      </c>
      <c r="J75" s="7">
        <v>1</v>
      </c>
      <c r="K75" s="6" t="s">
        <v>2264</v>
      </c>
      <c r="L75" s="6" t="s">
        <v>1233</v>
      </c>
      <c r="M75" s="7">
        <v>1</v>
      </c>
      <c r="N75" s="11" t="s">
        <v>2482</v>
      </c>
      <c r="O75" s="17" t="s">
        <v>1635</v>
      </c>
    </row>
    <row r="76" spans="1:15">
      <c r="A76" s="16">
        <v>75</v>
      </c>
      <c r="B76" s="6" t="s">
        <v>571</v>
      </c>
      <c r="C76" s="6" t="s">
        <v>1936</v>
      </c>
      <c r="D76" s="13" t="s">
        <v>2297</v>
      </c>
      <c r="E76" s="13" t="s">
        <v>2298</v>
      </c>
      <c r="F76" s="5" t="s">
        <v>2299</v>
      </c>
      <c r="G76" s="5" t="s">
        <v>2300</v>
      </c>
      <c r="H76" s="6" t="s">
        <v>2301</v>
      </c>
      <c r="I76" s="7">
        <v>2014</v>
      </c>
      <c r="J76" s="7">
        <v>1</v>
      </c>
      <c r="K76" s="6" t="s">
        <v>2302</v>
      </c>
      <c r="L76" s="6" t="s">
        <v>1233</v>
      </c>
      <c r="M76" s="7">
        <v>1</v>
      </c>
      <c r="N76" s="11" t="s">
        <v>2479</v>
      </c>
      <c r="O76" s="17" t="s">
        <v>1635</v>
      </c>
    </row>
    <row r="77" spans="1:15">
      <c r="A77" s="16">
        <v>76</v>
      </c>
      <c r="B77" s="6" t="s">
        <v>571</v>
      </c>
      <c r="C77" s="6" t="s">
        <v>1936</v>
      </c>
      <c r="D77" s="13" t="s">
        <v>2321</v>
      </c>
      <c r="E77" s="13" t="s">
        <v>2322</v>
      </c>
      <c r="F77" s="5" t="s">
        <v>2323</v>
      </c>
      <c r="G77" s="5" t="s">
        <v>2324</v>
      </c>
      <c r="H77" s="6" t="s">
        <v>2325</v>
      </c>
      <c r="I77" s="7">
        <v>2014</v>
      </c>
      <c r="J77" s="7">
        <v>1</v>
      </c>
      <c r="K77" s="6" t="s">
        <v>2326</v>
      </c>
      <c r="L77" s="6" t="s">
        <v>569</v>
      </c>
      <c r="M77" s="7">
        <v>1</v>
      </c>
      <c r="N77" s="11" t="s">
        <v>2475</v>
      </c>
      <c r="O77" s="17" t="s">
        <v>1635</v>
      </c>
    </row>
    <row r="78" spans="1:15">
      <c r="A78" s="16">
        <v>77</v>
      </c>
      <c r="B78" s="6" t="s">
        <v>571</v>
      </c>
      <c r="C78" s="6" t="s">
        <v>1936</v>
      </c>
      <c r="D78" s="13" t="s">
        <v>2350</v>
      </c>
      <c r="E78" s="13" t="s">
        <v>2351</v>
      </c>
      <c r="F78" s="5" t="s">
        <v>2352</v>
      </c>
      <c r="G78" s="5" t="s">
        <v>2353</v>
      </c>
      <c r="H78" s="6" t="s">
        <v>2354</v>
      </c>
      <c r="I78" s="7">
        <v>2014</v>
      </c>
      <c r="J78" s="7">
        <v>1</v>
      </c>
      <c r="K78" s="6" t="s">
        <v>2355</v>
      </c>
      <c r="L78" s="6" t="s">
        <v>1233</v>
      </c>
      <c r="M78" s="7">
        <v>1</v>
      </c>
      <c r="N78" s="11" t="s">
        <v>2478</v>
      </c>
      <c r="O78" s="17" t="s">
        <v>1635</v>
      </c>
    </row>
    <row r="79" spans="1:15">
      <c r="A79" s="16">
        <v>78</v>
      </c>
      <c r="B79" s="6" t="s">
        <v>571</v>
      </c>
      <c r="C79" s="6" t="s">
        <v>1656</v>
      </c>
      <c r="D79" s="13" t="s">
        <v>1799</v>
      </c>
      <c r="E79" s="13" t="s">
        <v>1800</v>
      </c>
      <c r="F79" s="5" t="s">
        <v>1801</v>
      </c>
      <c r="G79" s="5" t="s">
        <v>1802</v>
      </c>
      <c r="H79" s="6" t="s">
        <v>1803</v>
      </c>
      <c r="I79" s="7">
        <v>2011</v>
      </c>
      <c r="J79" s="7">
        <v>1</v>
      </c>
      <c r="K79" s="6" t="s">
        <v>1804</v>
      </c>
      <c r="L79" s="6" t="s">
        <v>569</v>
      </c>
      <c r="M79" s="7">
        <v>1</v>
      </c>
      <c r="N79" s="11" t="s">
        <v>2484</v>
      </c>
      <c r="O79" s="17" t="s">
        <v>1635</v>
      </c>
    </row>
    <row r="80" spans="1:15">
      <c r="A80" s="16">
        <v>79</v>
      </c>
      <c r="B80" s="9" t="s">
        <v>571</v>
      </c>
      <c r="C80" s="9" t="s">
        <v>1656</v>
      </c>
      <c r="D80" s="14" t="s">
        <v>2367</v>
      </c>
      <c r="E80" s="14" t="s">
        <v>2368</v>
      </c>
      <c r="F80" s="8" t="s">
        <v>2369</v>
      </c>
      <c r="G80" s="8" t="s">
        <v>2370</v>
      </c>
      <c r="H80" s="9" t="s">
        <v>2371</v>
      </c>
      <c r="I80" s="10">
        <v>2012</v>
      </c>
      <c r="J80" s="10">
        <v>1</v>
      </c>
      <c r="K80" s="9" t="s">
        <v>2372</v>
      </c>
      <c r="L80" s="9" t="s">
        <v>569</v>
      </c>
      <c r="M80" s="10">
        <v>1</v>
      </c>
      <c r="N80" s="11" t="s">
        <v>2488</v>
      </c>
      <c r="O80" s="17" t="s">
        <v>1635</v>
      </c>
    </row>
    <row r="81" spans="1:15">
      <c r="A81" s="16">
        <v>80</v>
      </c>
      <c r="B81" s="9" t="s">
        <v>571</v>
      </c>
      <c r="C81" s="9" t="s">
        <v>1656</v>
      </c>
      <c r="D81" s="14" t="s">
        <v>277</v>
      </c>
      <c r="E81" s="14" t="s">
        <v>2373</v>
      </c>
      <c r="F81" s="8" t="s">
        <v>2374</v>
      </c>
      <c r="G81" s="8" t="s">
        <v>2375</v>
      </c>
      <c r="H81" s="9" t="s">
        <v>2376</v>
      </c>
      <c r="I81" s="10">
        <v>2012</v>
      </c>
      <c r="J81" s="10">
        <v>1</v>
      </c>
      <c r="K81" s="9" t="s">
        <v>2377</v>
      </c>
      <c r="L81" s="9" t="s">
        <v>569</v>
      </c>
      <c r="M81" s="10">
        <v>1</v>
      </c>
      <c r="N81" s="11" t="s">
        <v>2486</v>
      </c>
      <c r="O81" s="17" t="s">
        <v>1635</v>
      </c>
    </row>
    <row r="82" spans="1:15">
      <c r="A82" s="16">
        <v>81</v>
      </c>
      <c r="B82" s="6" t="s">
        <v>571</v>
      </c>
      <c r="C82" s="6" t="s">
        <v>1656</v>
      </c>
      <c r="D82" s="13" t="s">
        <v>1657</v>
      </c>
      <c r="E82" s="13" t="s">
        <v>1658</v>
      </c>
      <c r="F82" s="5" t="s">
        <v>1659</v>
      </c>
      <c r="G82" s="5" t="s">
        <v>1660</v>
      </c>
      <c r="H82" s="6" t="s">
        <v>1661</v>
      </c>
      <c r="I82" s="7">
        <v>2013</v>
      </c>
      <c r="J82" s="7">
        <v>1</v>
      </c>
      <c r="K82" s="6" t="s">
        <v>1662</v>
      </c>
      <c r="L82" s="6" t="s">
        <v>1233</v>
      </c>
      <c r="M82" s="7">
        <v>1</v>
      </c>
      <c r="N82" s="11" t="s">
        <v>2487</v>
      </c>
      <c r="O82" s="17" t="s">
        <v>1635</v>
      </c>
    </row>
    <row r="83" spans="1:15">
      <c r="A83" s="16">
        <v>82</v>
      </c>
      <c r="B83" s="6" t="s">
        <v>571</v>
      </c>
      <c r="C83" s="6" t="s">
        <v>1656</v>
      </c>
      <c r="D83" s="13" t="s">
        <v>512</v>
      </c>
      <c r="E83" s="13" t="s">
        <v>1949</v>
      </c>
      <c r="F83" s="5" t="s">
        <v>1950</v>
      </c>
      <c r="G83" s="5" t="s">
        <v>1951</v>
      </c>
      <c r="H83" s="6" t="s">
        <v>1952</v>
      </c>
      <c r="I83" s="7">
        <v>2013</v>
      </c>
      <c r="J83" s="7">
        <v>1</v>
      </c>
      <c r="K83" s="6" t="s">
        <v>1953</v>
      </c>
      <c r="L83" s="6" t="s">
        <v>569</v>
      </c>
      <c r="M83" s="7">
        <v>1</v>
      </c>
      <c r="N83" s="11" t="s">
        <v>2483</v>
      </c>
      <c r="O83" s="17" t="s">
        <v>1635</v>
      </c>
    </row>
    <row r="84" spans="1:15">
      <c r="A84" s="16">
        <v>83</v>
      </c>
      <c r="B84" s="6" t="s">
        <v>571</v>
      </c>
      <c r="C84" s="6" t="s">
        <v>1656</v>
      </c>
      <c r="D84" s="13" t="s">
        <v>2157</v>
      </c>
      <c r="E84" s="13" t="s">
        <v>2158</v>
      </c>
      <c r="F84" s="5" t="s">
        <v>2159</v>
      </c>
      <c r="G84" s="5" t="s">
        <v>2160</v>
      </c>
      <c r="H84" s="6" t="s">
        <v>2161</v>
      </c>
      <c r="I84" s="7">
        <v>2014</v>
      </c>
      <c r="J84" s="7">
        <v>1</v>
      </c>
      <c r="K84" s="6" t="s">
        <v>2162</v>
      </c>
      <c r="L84" s="6" t="s">
        <v>569</v>
      </c>
      <c r="M84" s="7">
        <v>1</v>
      </c>
      <c r="N84" s="11" t="s">
        <v>2489</v>
      </c>
      <c r="O84" s="17" t="s">
        <v>1635</v>
      </c>
    </row>
    <row r="85" spans="1:15">
      <c r="A85" s="16">
        <v>84</v>
      </c>
      <c r="B85" s="6" t="s">
        <v>571</v>
      </c>
      <c r="C85" s="6" t="s">
        <v>1656</v>
      </c>
      <c r="D85" s="13" t="s">
        <v>2303</v>
      </c>
      <c r="E85" s="13" t="s">
        <v>2304</v>
      </c>
      <c r="F85" s="5" t="s">
        <v>2305</v>
      </c>
      <c r="G85" s="5" t="s">
        <v>2306</v>
      </c>
      <c r="H85" s="6" t="s">
        <v>2307</v>
      </c>
      <c r="I85" s="7">
        <v>2014</v>
      </c>
      <c r="J85" s="7">
        <v>1</v>
      </c>
      <c r="K85" s="6" t="s">
        <v>2308</v>
      </c>
      <c r="L85" s="6" t="s">
        <v>569</v>
      </c>
      <c r="M85" s="7">
        <v>1</v>
      </c>
      <c r="N85" s="11" t="s">
        <v>2485</v>
      </c>
      <c r="O85" s="17" t="s">
        <v>1635</v>
      </c>
    </row>
    <row r="86" spans="1:15">
      <c r="A86" s="16">
        <v>85</v>
      </c>
      <c r="B86" s="6" t="s">
        <v>571</v>
      </c>
      <c r="C86" s="6" t="s">
        <v>1720</v>
      </c>
      <c r="D86" s="13" t="s">
        <v>1837</v>
      </c>
      <c r="E86" s="13" t="s">
        <v>1843</v>
      </c>
      <c r="F86" s="5" t="s">
        <v>1844</v>
      </c>
      <c r="G86" s="5" t="s">
        <v>1845</v>
      </c>
      <c r="H86" s="6" t="s">
        <v>1846</v>
      </c>
      <c r="I86" s="7">
        <v>2013</v>
      </c>
      <c r="J86" s="7">
        <v>1</v>
      </c>
      <c r="K86" s="6" t="s">
        <v>1842</v>
      </c>
      <c r="L86" s="6" t="s">
        <v>569</v>
      </c>
      <c r="M86" s="7">
        <v>1</v>
      </c>
      <c r="N86" s="11" t="s">
        <v>2492</v>
      </c>
      <c r="O86" s="17" t="s">
        <v>1635</v>
      </c>
    </row>
    <row r="87" spans="1:15">
      <c r="A87" s="16">
        <v>86</v>
      </c>
      <c r="B87" s="6" t="s">
        <v>571</v>
      </c>
      <c r="C87" s="6" t="s">
        <v>1720</v>
      </c>
      <c r="D87" s="13" t="s">
        <v>2130</v>
      </c>
      <c r="E87" s="13" t="s">
        <v>2131</v>
      </c>
      <c r="F87" s="5" t="s">
        <v>2132</v>
      </c>
      <c r="G87" s="5" t="s">
        <v>2133</v>
      </c>
      <c r="H87" s="6" t="s">
        <v>2134</v>
      </c>
      <c r="I87" s="7">
        <v>2013</v>
      </c>
      <c r="J87" s="7">
        <v>1</v>
      </c>
      <c r="K87" s="6" t="s">
        <v>2135</v>
      </c>
      <c r="L87" s="6" t="s">
        <v>569</v>
      </c>
      <c r="M87" s="7">
        <v>1</v>
      </c>
      <c r="N87" s="11" t="s">
        <v>2499</v>
      </c>
      <c r="O87" s="17" t="s">
        <v>1635</v>
      </c>
    </row>
    <row r="88" spans="1:15">
      <c r="A88" s="16">
        <v>87</v>
      </c>
      <c r="B88" s="6" t="s">
        <v>571</v>
      </c>
      <c r="C88" s="6" t="s">
        <v>1720</v>
      </c>
      <c r="D88" s="13" t="s">
        <v>2136</v>
      </c>
      <c r="E88" s="13" t="s">
        <v>2137</v>
      </c>
      <c r="F88" s="5" t="s">
        <v>2138</v>
      </c>
      <c r="G88" s="5" t="s">
        <v>2139</v>
      </c>
      <c r="H88" s="6" t="s">
        <v>2140</v>
      </c>
      <c r="I88" s="7">
        <v>2013</v>
      </c>
      <c r="J88" s="7">
        <v>1</v>
      </c>
      <c r="K88" s="6" t="s">
        <v>2141</v>
      </c>
      <c r="L88" s="6" t="s">
        <v>569</v>
      </c>
      <c r="M88" s="7">
        <v>1</v>
      </c>
      <c r="N88" s="11" t="s">
        <v>2498</v>
      </c>
      <c r="O88" s="17" t="s">
        <v>1635</v>
      </c>
    </row>
    <row r="89" spans="1:15">
      <c r="A89" s="16">
        <v>88</v>
      </c>
      <c r="B89" s="6" t="s">
        <v>571</v>
      </c>
      <c r="C89" s="6" t="s">
        <v>1720</v>
      </c>
      <c r="D89" s="13" t="s">
        <v>2400</v>
      </c>
      <c r="E89" s="13" t="s">
        <v>1721</v>
      </c>
      <c r="F89" s="5" t="s">
        <v>1722</v>
      </c>
      <c r="G89" s="5" t="s">
        <v>1723</v>
      </c>
      <c r="H89" s="6" t="s">
        <v>1724</v>
      </c>
      <c r="I89" s="7">
        <v>2014</v>
      </c>
      <c r="J89" s="7">
        <v>1</v>
      </c>
      <c r="K89" s="6" t="s">
        <v>1363</v>
      </c>
      <c r="L89" s="6" t="s">
        <v>569</v>
      </c>
      <c r="M89" s="7">
        <v>1</v>
      </c>
      <c r="N89" s="11" t="s">
        <v>2494</v>
      </c>
      <c r="O89" s="17" t="s">
        <v>1635</v>
      </c>
    </row>
    <row r="90" spans="1:15">
      <c r="A90" s="16">
        <v>89</v>
      </c>
      <c r="B90" s="6" t="s">
        <v>571</v>
      </c>
      <c r="C90" s="6" t="s">
        <v>1720</v>
      </c>
      <c r="D90" s="13" t="s">
        <v>2401</v>
      </c>
      <c r="E90" s="13" t="s">
        <v>1782</v>
      </c>
      <c r="F90" s="5" t="s">
        <v>1783</v>
      </c>
      <c r="G90" s="5" t="s">
        <v>1784</v>
      </c>
      <c r="H90" s="6" t="s">
        <v>1785</v>
      </c>
      <c r="I90" s="7">
        <v>2014</v>
      </c>
      <c r="J90" s="7">
        <v>1</v>
      </c>
      <c r="K90" s="6" t="s">
        <v>1786</v>
      </c>
      <c r="L90" s="6" t="s">
        <v>569</v>
      </c>
      <c r="M90" s="7">
        <v>1</v>
      </c>
      <c r="N90" s="11" t="s">
        <v>2497</v>
      </c>
      <c r="O90" s="17" t="s">
        <v>1635</v>
      </c>
    </row>
    <row r="91" spans="1:15">
      <c r="A91" s="16">
        <v>90</v>
      </c>
      <c r="B91" s="6" t="s">
        <v>571</v>
      </c>
      <c r="C91" s="6" t="s">
        <v>1720</v>
      </c>
      <c r="D91" s="13" t="s">
        <v>1847</v>
      </c>
      <c r="E91" s="13" t="s">
        <v>1848</v>
      </c>
      <c r="F91" s="5" t="s">
        <v>1849</v>
      </c>
      <c r="G91" s="5" t="s">
        <v>1850</v>
      </c>
      <c r="H91" s="6" t="s">
        <v>1851</v>
      </c>
      <c r="I91" s="7">
        <v>2014</v>
      </c>
      <c r="J91" s="7">
        <v>1</v>
      </c>
      <c r="K91" s="6" t="s">
        <v>1852</v>
      </c>
      <c r="L91" s="6" t="s">
        <v>569</v>
      </c>
      <c r="M91" s="7">
        <v>1</v>
      </c>
      <c r="N91" s="11" t="s">
        <v>2491</v>
      </c>
      <c r="O91" s="17" t="s">
        <v>1635</v>
      </c>
    </row>
    <row r="92" spans="1:15">
      <c r="A92" s="16">
        <v>91</v>
      </c>
      <c r="B92" s="6" t="s">
        <v>571</v>
      </c>
      <c r="C92" s="6" t="s">
        <v>1720</v>
      </c>
      <c r="D92" s="13" t="s">
        <v>1793</v>
      </c>
      <c r="E92" s="13" t="s">
        <v>1794</v>
      </c>
      <c r="F92" s="5" t="s">
        <v>1795</v>
      </c>
      <c r="G92" s="5" t="s">
        <v>1796</v>
      </c>
      <c r="H92" s="6" t="s">
        <v>2399</v>
      </c>
      <c r="I92" s="7">
        <v>2014</v>
      </c>
      <c r="J92" s="7">
        <v>1</v>
      </c>
      <c r="K92" s="6" t="s">
        <v>1797</v>
      </c>
      <c r="L92" s="6" t="s">
        <v>1798</v>
      </c>
      <c r="M92" s="7">
        <v>1</v>
      </c>
      <c r="N92" s="11" t="s">
        <v>2493</v>
      </c>
      <c r="O92" s="17" t="s">
        <v>1635</v>
      </c>
    </row>
    <row r="93" spans="1:15">
      <c r="A93" s="16">
        <v>92</v>
      </c>
      <c r="B93" s="6" t="s">
        <v>571</v>
      </c>
      <c r="C93" s="6" t="s">
        <v>1720</v>
      </c>
      <c r="D93" s="13" t="s">
        <v>2086</v>
      </c>
      <c r="E93" s="13" t="s">
        <v>2087</v>
      </c>
      <c r="F93" s="5" t="s">
        <v>2088</v>
      </c>
      <c r="G93" s="5" t="s">
        <v>2089</v>
      </c>
      <c r="H93" s="6" t="s">
        <v>2090</v>
      </c>
      <c r="I93" s="7">
        <v>2014</v>
      </c>
      <c r="J93" s="7">
        <v>1</v>
      </c>
      <c r="K93" s="6" t="s">
        <v>2091</v>
      </c>
      <c r="L93" s="6" t="s">
        <v>569</v>
      </c>
      <c r="M93" s="7">
        <v>1</v>
      </c>
      <c r="N93" s="11" t="s">
        <v>2495</v>
      </c>
      <c r="O93" s="17" t="s">
        <v>1635</v>
      </c>
    </row>
    <row r="94" spans="1:15">
      <c r="A94" s="16">
        <v>93</v>
      </c>
      <c r="B94" s="6" t="s">
        <v>571</v>
      </c>
      <c r="C94" s="6" t="s">
        <v>1720</v>
      </c>
      <c r="D94" s="13" t="s">
        <v>2113</v>
      </c>
      <c r="E94" s="13" t="s">
        <v>2114</v>
      </c>
      <c r="F94" s="5" t="s">
        <v>2115</v>
      </c>
      <c r="G94" s="5" t="s">
        <v>2116</v>
      </c>
      <c r="H94" s="6" t="s">
        <v>2117</v>
      </c>
      <c r="I94" s="7">
        <v>2014</v>
      </c>
      <c r="J94" s="7">
        <v>1</v>
      </c>
      <c r="K94" s="6" t="s">
        <v>562</v>
      </c>
      <c r="L94" s="6" t="s">
        <v>569</v>
      </c>
      <c r="M94" s="7">
        <v>1</v>
      </c>
      <c r="N94" s="11" t="s">
        <v>2490</v>
      </c>
      <c r="O94" s="17" t="s">
        <v>1635</v>
      </c>
    </row>
    <row r="95" spans="1:15">
      <c r="A95" s="16">
        <v>94</v>
      </c>
      <c r="B95" s="6" t="s">
        <v>571</v>
      </c>
      <c r="C95" s="6" t="s">
        <v>1720</v>
      </c>
      <c r="D95" s="13" t="s">
        <v>2124</v>
      </c>
      <c r="E95" s="13" t="s">
        <v>2125</v>
      </c>
      <c r="F95" s="5" t="s">
        <v>2126</v>
      </c>
      <c r="G95" s="5" t="s">
        <v>2127</v>
      </c>
      <c r="H95" s="6" t="s">
        <v>2128</v>
      </c>
      <c r="I95" s="7">
        <v>2014</v>
      </c>
      <c r="J95" s="7">
        <v>1</v>
      </c>
      <c r="K95" s="6" t="s">
        <v>2129</v>
      </c>
      <c r="L95" s="6" t="s">
        <v>569</v>
      </c>
      <c r="M95" s="7">
        <v>1</v>
      </c>
      <c r="N95" s="11" t="s">
        <v>2496</v>
      </c>
      <c r="O95" s="17" t="s">
        <v>1635</v>
      </c>
    </row>
    <row r="96" spans="1:15">
      <c r="A96" s="16">
        <v>95</v>
      </c>
      <c r="B96" s="6" t="s">
        <v>571</v>
      </c>
      <c r="C96" s="6" t="s">
        <v>1725</v>
      </c>
      <c r="D96" s="13" t="s">
        <v>1726</v>
      </c>
      <c r="E96" s="13" t="s">
        <v>1727</v>
      </c>
      <c r="F96" s="5" t="s">
        <v>1728</v>
      </c>
      <c r="G96" s="5" t="s">
        <v>1729</v>
      </c>
      <c r="H96" s="6" t="s">
        <v>1730</v>
      </c>
      <c r="I96" s="7">
        <v>2014</v>
      </c>
      <c r="J96" s="7">
        <v>1</v>
      </c>
      <c r="K96" s="6" t="s">
        <v>1731</v>
      </c>
      <c r="L96" s="6" t="s">
        <v>569</v>
      </c>
      <c r="M96" s="7">
        <v>1</v>
      </c>
      <c r="N96" s="11" t="s">
        <v>2501</v>
      </c>
      <c r="O96" s="17" t="s">
        <v>1635</v>
      </c>
    </row>
    <row r="97" spans="1:15">
      <c r="A97" s="16">
        <v>96</v>
      </c>
      <c r="B97" s="6" t="s">
        <v>571</v>
      </c>
      <c r="C97" s="6" t="s">
        <v>1725</v>
      </c>
      <c r="D97" s="13" t="s">
        <v>1837</v>
      </c>
      <c r="E97" s="13" t="s">
        <v>1838</v>
      </c>
      <c r="F97" s="5" t="s">
        <v>1839</v>
      </c>
      <c r="G97" s="5" t="s">
        <v>1840</v>
      </c>
      <c r="H97" s="6" t="s">
        <v>1841</v>
      </c>
      <c r="I97" s="7">
        <v>2014</v>
      </c>
      <c r="J97" s="7">
        <v>1</v>
      </c>
      <c r="K97" s="6" t="s">
        <v>1842</v>
      </c>
      <c r="L97" s="6" t="s">
        <v>569</v>
      </c>
      <c r="M97" s="7">
        <v>1</v>
      </c>
      <c r="N97" s="11" t="s">
        <v>2500</v>
      </c>
      <c r="O97" s="17" t="s">
        <v>1635</v>
      </c>
    </row>
    <row r="98" spans="1:15">
      <c r="A98" s="16">
        <v>97</v>
      </c>
      <c r="B98" s="6" t="s">
        <v>571</v>
      </c>
      <c r="C98" s="6" t="s">
        <v>1732</v>
      </c>
      <c r="D98" s="13" t="s">
        <v>2092</v>
      </c>
      <c r="E98" s="13" t="s">
        <v>2093</v>
      </c>
      <c r="F98" s="5" t="s">
        <v>2094</v>
      </c>
      <c r="G98" s="5" t="s">
        <v>2095</v>
      </c>
      <c r="H98" s="6" t="s">
        <v>2096</v>
      </c>
      <c r="I98" s="7">
        <v>2009</v>
      </c>
      <c r="J98" s="7">
        <v>1</v>
      </c>
      <c r="K98" s="6" t="s">
        <v>2097</v>
      </c>
      <c r="L98" s="6" t="s">
        <v>569</v>
      </c>
      <c r="M98" s="7">
        <v>1</v>
      </c>
      <c r="N98" s="11" t="s">
        <v>2503</v>
      </c>
      <c r="O98" s="17" t="s">
        <v>1635</v>
      </c>
    </row>
    <row r="99" spans="1:15">
      <c r="A99" s="16">
        <v>98</v>
      </c>
      <c r="B99" s="6" t="s">
        <v>571</v>
      </c>
      <c r="C99" s="6" t="s">
        <v>1732</v>
      </c>
      <c r="D99" s="13" t="s">
        <v>528</v>
      </c>
      <c r="E99" s="13" t="s">
        <v>1805</v>
      </c>
      <c r="F99" s="5" t="s">
        <v>1806</v>
      </c>
      <c r="G99" s="5" t="s">
        <v>1807</v>
      </c>
      <c r="H99" s="6" t="s">
        <v>1808</v>
      </c>
      <c r="I99" s="7">
        <v>2013</v>
      </c>
      <c r="J99" s="7">
        <v>1</v>
      </c>
      <c r="K99" s="6" t="s">
        <v>1809</v>
      </c>
      <c r="L99" s="6" t="s">
        <v>569</v>
      </c>
      <c r="M99" s="7">
        <v>1</v>
      </c>
      <c r="N99" s="11" t="s">
        <v>2512</v>
      </c>
      <c r="O99" s="17" t="s">
        <v>1635</v>
      </c>
    </row>
    <row r="100" spans="1:15">
      <c r="A100" s="16">
        <v>99</v>
      </c>
      <c r="B100" s="6" t="s">
        <v>571</v>
      </c>
      <c r="C100" s="6" t="s">
        <v>1732</v>
      </c>
      <c r="D100" s="13" t="s">
        <v>1733</v>
      </c>
      <c r="E100" s="13" t="s">
        <v>1734</v>
      </c>
      <c r="F100" s="5" t="s">
        <v>1735</v>
      </c>
      <c r="G100" s="5" t="s">
        <v>1736</v>
      </c>
      <c r="H100" s="6" t="s">
        <v>1737</v>
      </c>
      <c r="I100" s="7">
        <v>2014</v>
      </c>
      <c r="J100" s="7">
        <v>1</v>
      </c>
      <c r="K100" s="6" t="s">
        <v>536</v>
      </c>
      <c r="L100" s="6" t="s">
        <v>569</v>
      </c>
      <c r="M100" s="7">
        <v>1</v>
      </c>
      <c r="N100" s="11" t="s">
        <v>2510</v>
      </c>
      <c r="O100" s="17" t="s">
        <v>1635</v>
      </c>
    </row>
    <row r="101" spans="1:15">
      <c r="A101" s="16">
        <v>100</v>
      </c>
      <c r="B101" s="6" t="s">
        <v>571</v>
      </c>
      <c r="C101" s="6" t="s">
        <v>1732</v>
      </c>
      <c r="D101" s="13" t="s">
        <v>1879</v>
      </c>
      <c r="E101" s="13" t="s">
        <v>1880</v>
      </c>
      <c r="F101" s="5" t="s">
        <v>1881</v>
      </c>
      <c r="G101" s="5" t="s">
        <v>1882</v>
      </c>
      <c r="H101" s="6" t="s">
        <v>1883</v>
      </c>
      <c r="I101" s="7">
        <v>2014</v>
      </c>
      <c r="J101" s="7">
        <v>1</v>
      </c>
      <c r="K101" s="6" t="s">
        <v>1884</v>
      </c>
      <c r="L101" s="6" t="s">
        <v>569</v>
      </c>
      <c r="M101" s="7">
        <v>1</v>
      </c>
      <c r="N101" s="11" t="s">
        <v>2504</v>
      </c>
      <c r="O101" s="17" t="s">
        <v>1635</v>
      </c>
    </row>
    <row r="102" spans="1:15">
      <c r="A102" s="16">
        <v>101</v>
      </c>
      <c r="B102" s="6" t="s">
        <v>571</v>
      </c>
      <c r="C102" s="6" t="s">
        <v>1732</v>
      </c>
      <c r="D102" s="13" t="s">
        <v>2042</v>
      </c>
      <c r="E102" s="13" t="s">
        <v>2043</v>
      </c>
      <c r="F102" s="5" t="s">
        <v>2044</v>
      </c>
      <c r="G102" s="5" t="s">
        <v>2045</v>
      </c>
      <c r="H102" s="6" t="s">
        <v>2046</v>
      </c>
      <c r="I102" s="7">
        <v>2014</v>
      </c>
      <c r="J102" s="7">
        <v>1</v>
      </c>
      <c r="K102" s="6" t="s">
        <v>2047</v>
      </c>
      <c r="L102" s="6" t="s">
        <v>569</v>
      </c>
      <c r="M102" s="7">
        <v>1</v>
      </c>
      <c r="N102" s="11" t="s">
        <v>2511</v>
      </c>
      <c r="O102" s="17" t="s">
        <v>1635</v>
      </c>
    </row>
    <row r="103" spans="1:15">
      <c r="A103" s="16">
        <v>102</v>
      </c>
      <c r="B103" s="6" t="s">
        <v>571</v>
      </c>
      <c r="C103" s="6" t="s">
        <v>1732</v>
      </c>
      <c r="D103" s="13" t="s">
        <v>1793</v>
      </c>
      <c r="E103" s="13" t="s">
        <v>2172</v>
      </c>
      <c r="F103" s="5" t="s">
        <v>2173</v>
      </c>
      <c r="G103" s="5" t="s">
        <v>2174</v>
      </c>
      <c r="H103" s="6" t="s">
        <v>2175</v>
      </c>
      <c r="I103" s="7">
        <v>2014</v>
      </c>
      <c r="J103" s="7">
        <v>1</v>
      </c>
      <c r="K103" s="6" t="s">
        <v>1702</v>
      </c>
      <c r="L103" s="6" t="s">
        <v>569</v>
      </c>
      <c r="M103" s="7">
        <v>1</v>
      </c>
      <c r="N103" s="11" t="s">
        <v>2505</v>
      </c>
      <c r="O103" s="17" t="s">
        <v>1635</v>
      </c>
    </row>
    <row r="104" spans="1:15">
      <c r="A104" s="16">
        <v>103</v>
      </c>
      <c r="B104" s="6" t="s">
        <v>571</v>
      </c>
      <c r="C104" s="6" t="s">
        <v>1732</v>
      </c>
      <c r="D104" s="13" t="s">
        <v>2042</v>
      </c>
      <c r="E104" s="13" t="s">
        <v>2186</v>
      </c>
      <c r="F104" s="5" t="s">
        <v>2187</v>
      </c>
      <c r="G104" s="5" t="s">
        <v>2188</v>
      </c>
      <c r="H104" s="6" t="s">
        <v>2189</v>
      </c>
      <c r="I104" s="7">
        <v>2014</v>
      </c>
      <c r="J104" s="7">
        <v>1</v>
      </c>
      <c r="K104" s="6" t="s">
        <v>1363</v>
      </c>
      <c r="L104" s="6" t="s">
        <v>569</v>
      </c>
      <c r="M104" s="7">
        <v>1</v>
      </c>
      <c r="N104" s="11" t="s">
        <v>2509</v>
      </c>
      <c r="O104" s="17" t="s">
        <v>1635</v>
      </c>
    </row>
    <row r="105" spans="1:15">
      <c r="A105" s="16">
        <v>104</v>
      </c>
      <c r="B105" s="6" t="s">
        <v>571</v>
      </c>
      <c r="C105" s="6" t="s">
        <v>1732</v>
      </c>
      <c r="D105" s="13" t="s">
        <v>2086</v>
      </c>
      <c r="E105" s="13" t="s">
        <v>2219</v>
      </c>
      <c r="F105" s="5" t="s">
        <v>2220</v>
      </c>
      <c r="G105" s="5" t="s">
        <v>2221</v>
      </c>
      <c r="H105" s="6" t="s">
        <v>2222</v>
      </c>
      <c r="I105" s="7">
        <v>2014</v>
      </c>
      <c r="J105" s="7">
        <v>1</v>
      </c>
      <c r="K105" s="6" t="s">
        <v>1617</v>
      </c>
      <c r="L105" s="6" t="s">
        <v>569</v>
      </c>
      <c r="M105" s="7">
        <v>1</v>
      </c>
      <c r="N105" s="11" t="s">
        <v>2507</v>
      </c>
      <c r="O105" s="17" t="s">
        <v>1635</v>
      </c>
    </row>
    <row r="106" spans="1:15">
      <c r="A106" s="16">
        <v>105</v>
      </c>
      <c r="B106" s="6" t="s">
        <v>571</v>
      </c>
      <c r="C106" s="6" t="s">
        <v>1732</v>
      </c>
      <c r="D106" s="13" t="s">
        <v>2240</v>
      </c>
      <c r="E106" s="13" t="s">
        <v>2241</v>
      </c>
      <c r="F106" s="5" t="s">
        <v>2242</v>
      </c>
      <c r="G106" s="5" t="s">
        <v>2243</v>
      </c>
      <c r="H106" s="6" t="s">
        <v>2244</v>
      </c>
      <c r="I106" s="7">
        <v>2014</v>
      </c>
      <c r="J106" s="7">
        <v>1</v>
      </c>
      <c r="K106" s="6" t="s">
        <v>2402</v>
      </c>
      <c r="L106" s="6" t="s">
        <v>569</v>
      </c>
      <c r="M106" s="7">
        <v>1</v>
      </c>
      <c r="N106" s="11" t="s">
        <v>2506</v>
      </c>
      <c r="O106" s="17" t="s">
        <v>1635</v>
      </c>
    </row>
    <row r="107" spans="1:15">
      <c r="A107" s="16">
        <v>106</v>
      </c>
      <c r="B107" s="6" t="s">
        <v>571</v>
      </c>
      <c r="C107" s="6" t="s">
        <v>1732</v>
      </c>
      <c r="D107" s="13" t="s">
        <v>2315</v>
      </c>
      <c r="E107" s="13" t="s">
        <v>2316</v>
      </c>
      <c r="F107" s="5" t="s">
        <v>2317</v>
      </c>
      <c r="G107" s="5" t="s">
        <v>2318</v>
      </c>
      <c r="H107" s="6" t="s">
        <v>2319</v>
      </c>
      <c r="I107" s="7">
        <v>2014</v>
      </c>
      <c r="J107" s="7">
        <v>1</v>
      </c>
      <c r="K107" s="6" t="s">
        <v>2320</v>
      </c>
      <c r="L107" s="6" t="s">
        <v>569</v>
      </c>
      <c r="M107" s="7">
        <v>1</v>
      </c>
      <c r="N107" s="11" t="s">
        <v>2508</v>
      </c>
      <c r="O107" s="17" t="s">
        <v>1635</v>
      </c>
    </row>
    <row r="108" spans="1:15">
      <c r="A108" s="16">
        <v>107</v>
      </c>
      <c r="B108" s="6" t="s">
        <v>571</v>
      </c>
      <c r="C108" s="6" t="s">
        <v>1732</v>
      </c>
      <c r="D108" s="13" t="s">
        <v>2356</v>
      </c>
      <c r="E108" s="13" t="s">
        <v>2357</v>
      </c>
      <c r="F108" s="5" t="s">
        <v>2358</v>
      </c>
      <c r="G108" s="5" t="s">
        <v>2359</v>
      </c>
      <c r="H108" s="6" t="s">
        <v>2360</v>
      </c>
      <c r="I108" s="7">
        <v>2014</v>
      </c>
      <c r="J108" s="7">
        <v>1</v>
      </c>
      <c r="K108" s="6" t="s">
        <v>2361</v>
      </c>
      <c r="L108" s="6" t="s">
        <v>569</v>
      </c>
      <c r="M108" s="7">
        <v>1</v>
      </c>
      <c r="N108" s="11" t="s">
        <v>2502</v>
      </c>
      <c r="O108" s="17" t="s">
        <v>1635</v>
      </c>
    </row>
    <row r="109" spans="1:15">
      <c r="A109" s="16">
        <v>108</v>
      </c>
      <c r="B109" s="6" t="s">
        <v>571</v>
      </c>
      <c r="C109" s="6" t="s">
        <v>1697</v>
      </c>
      <c r="D109" s="13" t="s">
        <v>1770</v>
      </c>
      <c r="E109" s="13" t="s">
        <v>1771</v>
      </c>
      <c r="F109" s="5" t="s">
        <v>1772</v>
      </c>
      <c r="G109" s="5" t="s">
        <v>1773</v>
      </c>
      <c r="H109" s="6" t="s">
        <v>1774</v>
      </c>
      <c r="I109" s="7">
        <v>2010</v>
      </c>
      <c r="J109" s="7">
        <v>1</v>
      </c>
      <c r="K109" s="6" t="s">
        <v>1775</v>
      </c>
      <c r="L109" s="6" t="s">
        <v>561</v>
      </c>
      <c r="M109" s="7">
        <v>1</v>
      </c>
      <c r="N109" s="11" t="s">
        <v>2519</v>
      </c>
      <c r="O109" s="17" t="s">
        <v>1635</v>
      </c>
    </row>
    <row r="110" spans="1:15">
      <c r="A110" s="16">
        <v>109</v>
      </c>
      <c r="B110" s="6" t="s">
        <v>571</v>
      </c>
      <c r="C110" s="6" t="s">
        <v>1697</v>
      </c>
      <c r="D110" s="13" t="s">
        <v>2393</v>
      </c>
      <c r="E110" s="13" t="s">
        <v>2190</v>
      </c>
      <c r="F110" s="5" t="s">
        <v>2191</v>
      </c>
      <c r="G110" s="5" t="s">
        <v>2192</v>
      </c>
      <c r="H110" s="6" t="s">
        <v>2193</v>
      </c>
      <c r="I110" s="7">
        <v>2012</v>
      </c>
      <c r="J110" s="7">
        <v>1</v>
      </c>
      <c r="K110" s="6" t="s">
        <v>2194</v>
      </c>
      <c r="L110" s="6" t="s">
        <v>561</v>
      </c>
      <c r="M110" s="7">
        <v>1</v>
      </c>
      <c r="N110" s="11" t="s">
        <v>2514</v>
      </c>
      <c r="O110" s="17" t="s">
        <v>1635</v>
      </c>
    </row>
    <row r="111" spans="1:15">
      <c r="A111" s="16">
        <v>110</v>
      </c>
      <c r="B111" s="6" t="s">
        <v>571</v>
      </c>
      <c r="C111" s="6" t="s">
        <v>1697</v>
      </c>
      <c r="D111" s="13" t="s">
        <v>1776</v>
      </c>
      <c r="E111" s="13" t="s">
        <v>1777</v>
      </c>
      <c r="F111" s="5" t="s">
        <v>1778</v>
      </c>
      <c r="G111" s="5" t="s">
        <v>1779</v>
      </c>
      <c r="H111" s="6" t="s">
        <v>1780</v>
      </c>
      <c r="I111" s="7">
        <v>2013</v>
      </c>
      <c r="J111" s="7">
        <v>1</v>
      </c>
      <c r="K111" s="6" t="s">
        <v>1781</v>
      </c>
      <c r="L111" s="6" t="s">
        <v>561</v>
      </c>
      <c r="M111" s="7">
        <v>1</v>
      </c>
      <c r="N111" s="11" t="s">
        <v>2522</v>
      </c>
      <c r="O111" s="17" t="s">
        <v>1635</v>
      </c>
    </row>
    <row r="112" spans="1:15">
      <c r="A112" s="16">
        <v>111</v>
      </c>
      <c r="B112" s="6" t="s">
        <v>571</v>
      </c>
      <c r="C112" s="6" t="s">
        <v>1697</v>
      </c>
      <c r="D112" s="13" t="s">
        <v>504</v>
      </c>
      <c r="E112" s="13" t="s">
        <v>1926</v>
      </c>
      <c r="F112" s="5" t="s">
        <v>1927</v>
      </c>
      <c r="G112" s="5" t="s">
        <v>1928</v>
      </c>
      <c r="H112" s="6" t="s">
        <v>1929</v>
      </c>
      <c r="I112" s="7">
        <v>2013</v>
      </c>
      <c r="J112" s="7">
        <v>1</v>
      </c>
      <c r="K112" s="6" t="s">
        <v>1792</v>
      </c>
      <c r="L112" s="6" t="s">
        <v>561</v>
      </c>
      <c r="M112" s="7">
        <v>1</v>
      </c>
      <c r="N112" s="11" t="s">
        <v>2517</v>
      </c>
      <c r="O112" s="17" t="s">
        <v>1635</v>
      </c>
    </row>
    <row r="113" spans="1:15">
      <c r="A113" s="16">
        <v>112</v>
      </c>
      <c r="B113" s="6" t="s">
        <v>571</v>
      </c>
      <c r="C113" s="6" t="s">
        <v>1697</v>
      </c>
      <c r="D113" s="13" t="s">
        <v>504</v>
      </c>
      <c r="E113" s="13" t="s">
        <v>2327</v>
      </c>
      <c r="F113" s="5" t="s">
        <v>2328</v>
      </c>
      <c r="G113" s="5" t="s">
        <v>2329</v>
      </c>
      <c r="H113" s="6" t="s">
        <v>2330</v>
      </c>
      <c r="I113" s="7">
        <v>2013</v>
      </c>
      <c r="J113" s="7">
        <v>1</v>
      </c>
      <c r="K113" s="6" t="s">
        <v>2331</v>
      </c>
      <c r="L113" s="6" t="s">
        <v>561</v>
      </c>
      <c r="M113" s="7">
        <v>1</v>
      </c>
      <c r="N113" s="11" t="s">
        <v>2515</v>
      </c>
      <c r="O113" s="17" t="s">
        <v>1635</v>
      </c>
    </row>
    <row r="114" spans="1:15">
      <c r="A114" s="16">
        <v>113</v>
      </c>
      <c r="B114" s="6" t="s">
        <v>571</v>
      </c>
      <c r="C114" s="6" t="s">
        <v>1697</v>
      </c>
      <c r="D114" s="13" t="s">
        <v>504</v>
      </c>
      <c r="E114" s="13" t="s">
        <v>1698</v>
      </c>
      <c r="F114" s="5" t="s">
        <v>1699</v>
      </c>
      <c r="G114" s="5" t="s">
        <v>1700</v>
      </c>
      <c r="H114" s="6" t="s">
        <v>1701</v>
      </c>
      <c r="I114" s="7">
        <v>2014</v>
      </c>
      <c r="J114" s="7">
        <v>1</v>
      </c>
      <c r="K114" s="6" t="s">
        <v>1702</v>
      </c>
      <c r="L114" s="6" t="s">
        <v>561</v>
      </c>
      <c r="M114" s="7">
        <v>1</v>
      </c>
      <c r="N114" s="11" t="s">
        <v>2516</v>
      </c>
      <c r="O114" s="17" t="s">
        <v>1635</v>
      </c>
    </row>
    <row r="115" spans="1:15">
      <c r="A115" s="16">
        <v>114</v>
      </c>
      <c r="B115" s="6" t="s">
        <v>571</v>
      </c>
      <c r="C115" s="6" t="s">
        <v>1697</v>
      </c>
      <c r="D115" s="13" t="s">
        <v>1831</v>
      </c>
      <c r="E115" s="13" t="s">
        <v>1832</v>
      </c>
      <c r="F115" s="5" t="s">
        <v>1833</v>
      </c>
      <c r="G115" s="5" t="s">
        <v>1834</v>
      </c>
      <c r="H115" s="6" t="s">
        <v>1835</v>
      </c>
      <c r="I115" s="7">
        <v>2014</v>
      </c>
      <c r="J115" s="7">
        <v>1</v>
      </c>
      <c r="K115" s="6" t="s">
        <v>1836</v>
      </c>
      <c r="L115" s="6" t="s">
        <v>561</v>
      </c>
      <c r="M115" s="7">
        <v>1</v>
      </c>
      <c r="N115" s="11" t="s">
        <v>2521</v>
      </c>
      <c r="O115" s="17" t="s">
        <v>1635</v>
      </c>
    </row>
    <row r="116" spans="1:15">
      <c r="A116" s="16">
        <v>115</v>
      </c>
      <c r="B116" s="6" t="s">
        <v>571</v>
      </c>
      <c r="C116" s="6" t="s">
        <v>1697</v>
      </c>
      <c r="D116" s="13" t="s">
        <v>1885</v>
      </c>
      <c r="E116" s="13" t="s">
        <v>1886</v>
      </c>
      <c r="F116" s="5" t="s">
        <v>1887</v>
      </c>
      <c r="G116" s="5" t="s">
        <v>1888</v>
      </c>
      <c r="H116" s="6" t="s">
        <v>1889</v>
      </c>
      <c r="I116" s="7">
        <v>2014</v>
      </c>
      <c r="J116" s="7">
        <v>1</v>
      </c>
      <c r="K116" s="6" t="s">
        <v>1890</v>
      </c>
      <c r="L116" s="6" t="s">
        <v>561</v>
      </c>
      <c r="M116" s="7">
        <v>1</v>
      </c>
      <c r="N116" s="11" t="s">
        <v>2513</v>
      </c>
      <c r="O116" s="17" t="s">
        <v>1635</v>
      </c>
    </row>
    <row r="117" spans="1:15">
      <c r="A117" s="16">
        <v>116</v>
      </c>
      <c r="B117" s="6" t="s">
        <v>571</v>
      </c>
      <c r="C117" s="6" t="s">
        <v>1697</v>
      </c>
      <c r="D117" s="13" t="s">
        <v>504</v>
      </c>
      <c r="E117" s="13" t="s">
        <v>2210</v>
      </c>
      <c r="F117" s="5" t="s">
        <v>2211</v>
      </c>
      <c r="G117" s="5" t="s">
        <v>2212</v>
      </c>
      <c r="H117" s="6" t="s">
        <v>2403</v>
      </c>
      <c r="I117" s="7">
        <v>2014</v>
      </c>
      <c r="J117" s="7">
        <v>1</v>
      </c>
      <c r="K117" s="6" t="s">
        <v>2213</v>
      </c>
      <c r="L117" s="6" t="s">
        <v>561</v>
      </c>
      <c r="M117" s="7">
        <v>1</v>
      </c>
      <c r="N117" s="11" t="s">
        <v>2518</v>
      </c>
      <c r="O117" s="17" t="s">
        <v>1635</v>
      </c>
    </row>
    <row r="118" spans="1:15">
      <c r="A118" s="16">
        <v>117</v>
      </c>
      <c r="B118" s="6" t="s">
        <v>571</v>
      </c>
      <c r="C118" s="6" t="s">
        <v>1697</v>
      </c>
      <c r="D118" s="13" t="s">
        <v>2118</v>
      </c>
      <c r="E118" s="13" t="s">
        <v>2119</v>
      </c>
      <c r="F118" s="5" t="s">
        <v>2120</v>
      </c>
      <c r="G118" s="5" t="s">
        <v>2121</v>
      </c>
      <c r="H118" s="6" t="s">
        <v>2122</v>
      </c>
      <c r="I118" s="7">
        <v>2014</v>
      </c>
      <c r="J118" s="7">
        <v>1</v>
      </c>
      <c r="K118" s="6" t="s">
        <v>2123</v>
      </c>
      <c r="L118" s="6" t="s">
        <v>561</v>
      </c>
      <c r="M118" s="7">
        <v>1</v>
      </c>
      <c r="N118" s="11" t="s">
        <v>2520</v>
      </c>
      <c r="O118" s="17" t="s">
        <v>1635</v>
      </c>
    </row>
    <row r="119" spans="1:15">
      <c r="A119" s="16">
        <v>118</v>
      </c>
      <c r="B119" s="6" t="s">
        <v>571</v>
      </c>
      <c r="C119" s="6" t="s">
        <v>1787</v>
      </c>
      <c r="D119" s="13" t="s">
        <v>504</v>
      </c>
      <c r="E119" s="13" t="s">
        <v>1788</v>
      </c>
      <c r="F119" s="5" t="s">
        <v>1789</v>
      </c>
      <c r="G119" s="5" t="s">
        <v>1790</v>
      </c>
      <c r="H119" s="6" t="s">
        <v>1791</v>
      </c>
      <c r="I119" s="7">
        <v>2014</v>
      </c>
      <c r="J119" s="7">
        <v>1</v>
      </c>
      <c r="K119" s="6" t="s">
        <v>1792</v>
      </c>
      <c r="L119" s="6" t="s">
        <v>561</v>
      </c>
      <c r="M119" s="7">
        <v>1</v>
      </c>
      <c r="N119" s="11" t="s">
        <v>2523</v>
      </c>
      <c r="O119" s="17" t="s">
        <v>1635</v>
      </c>
    </row>
    <row r="120" spans="1:15">
      <c r="A120" s="16">
        <v>119</v>
      </c>
      <c r="B120" s="6" t="s">
        <v>571</v>
      </c>
      <c r="C120" s="6" t="s">
        <v>1787</v>
      </c>
      <c r="D120" s="13" t="s">
        <v>504</v>
      </c>
      <c r="E120" s="13" t="s">
        <v>2277</v>
      </c>
      <c r="F120" s="5" t="s">
        <v>2278</v>
      </c>
      <c r="G120" s="5" t="s">
        <v>2279</v>
      </c>
      <c r="H120" s="6" t="s">
        <v>2280</v>
      </c>
      <c r="I120" s="7">
        <v>2014</v>
      </c>
      <c r="J120" s="7">
        <v>1</v>
      </c>
      <c r="K120" s="6" t="s">
        <v>2281</v>
      </c>
      <c r="L120" s="6" t="s">
        <v>561</v>
      </c>
      <c r="M120" s="7">
        <v>1</v>
      </c>
      <c r="N120" s="11" t="s">
        <v>2524</v>
      </c>
      <c r="O120" s="17" t="s">
        <v>1635</v>
      </c>
    </row>
    <row r="121" spans="1:15">
      <c r="A121" s="16">
        <v>120</v>
      </c>
      <c r="B121" s="6" t="s">
        <v>571</v>
      </c>
      <c r="C121" s="6" t="s">
        <v>1649</v>
      </c>
      <c r="D121" s="13" t="s">
        <v>1650</v>
      </c>
      <c r="E121" s="13" t="s">
        <v>1651</v>
      </c>
      <c r="F121" s="5" t="s">
        <v>1652</v>
      </c>
      <c r="G121" s="5" t="s">
        <v>1653</v>
      </c>
      <c r="H121" s="6" t="s">
        <v>1654</v>
      </c>
      <c r="I121" s="7">
        <v>2010</v>
      </c>
      <c r="J121" s="7">
        <v>1</v>
      </c>
      <c r="K121" s="6" t="s">
        <v>1655</v>
      </c>
      <c r="L121" s="6" t="s">
        <v>569</v>
      </c>
      <c r="M121" s="7">
        <v>1</v>
      </c>
      <c r="N121" s="11" t="s">
        <v>2526</v>
      </c>
      <c r="O121" s="17" t="s">
        <v>1635</v>
      </c>
    </row>
    <row r="122" spans="1:15">
      <c r="A122" s="16">
        <v>121</v>
      </c>
      <c r="B122" s="6" t="s">
        <v>571</v>
      </c>
      <c r="C122" s="6" t="s">
        <v>1649</v>
      </c>
      <c r="D122" s="13" t="s">
        <v>1759</v>
      </c>
      <c r="E122" s="13" t="s">
        <v>1760</v>
      </c>
      <c r="F122" s="5" t="s">
        <v>1761</v>
      </c>
      <c r="G122" s="5" t="s">
        <v>1762</v>
      </c>
      <c r="H122" s="6" t="s">
        <v>1763</v>
      </c>
      <c r="I122" s="7">
        <v>2012</v>
      </c>
      <c r="J122" s="7">
        <v>1</v>
      </c>
      <c r="K122" s="6" t="s">
        <v>1764</v>
      </c>
      <c r="L122" s="6" t="s">
        <v>569</v>
      </c>
      <c r="M122" s="7">
        <v>1</v>
      </c>
      <c r="N122" s="11" t="s">
        <v>2527</v>
      </c>
      <c r="O122" s="17" t="s">
        <v>1635</v>
      </c>
    </row>
    <row r="123" spans="1:15">
      <c r="A123" s="16">
        <v>122</v>
      </c>
      <c r="B123" s="6" t="s">
        <v>571</v>
      </c>
      <c r="C123" s="6" t="s">
        <v>1649</v>
      </c>
      <c r="D123" s="13" t="s">
        <v>1765</v>
      </c>
      <c r="E123" s="13" t="s">
        <v>1766</v>
      </c>
      <c r="F123" s="5" t="s">
        <v>1767</v>
      </c>
      <c r="G123" s="5" t="s">
        <v>1768</v>
      </c>
      <c r="H123" s="6" t="s">
        <v>1769</v>
      </c>
      <c r="I123" s="7">
        <v>2013</v>
      </c>
      <c r="J123" s="7">
        <v>1</v>
      </c>
      <c r="K123" s="6" t="s">
        <v>425</v>
      </c>
      <c r="L123" s="6" t="s">
        <v>569</v>
      </c>
      <c r="M123" s="7">
        <v>1</v>
      </c>
      <c r="N123" s="11" t="s">
        <v>2528</v>
      </c>
      <c r="O123" s="17" t="s">
        <v>1635</v>
      </c>
    </row>
    <row r="124" spans="1:15">
      <c r="A124" s="16">
        <v>123</v>
      </c>
      <c r="B124" s="6" t="s">
        <v>571</v>
      </c>
      <c r="C124" s="6" t="s">
        <v>1649</v>
      </c>
      <c r="D124" s="13" t="s">
        <v>1869</v>
      </c>
      <c r="E124" s="13" t="s">
        <v>1870</v>
      </c>
      <c r="F124" s="5" t="s">
        <v>1871</v>
      </c>
      <c r="G124" s="5" t="s">
        <v>1872</v>
      </c>
      <c r="H124" s="6" t="s">
        <v>1873</v>
      </c>
      <c r="I124" s="7">
        <v>2013</v>
      </c>
      <c r="J124" s="7">
        <v>1</v>
      </c>
      <c r="K124" s="6" t="s">
        <v>1874</v>
      </c>
      <c r="L124" s="6" t="s">
        <v>569</v>
      </c>
      <c r="M124" s="7">
        <v>1</v>
      </c>
      <c r="N124" s="11" t="s">
        <v>2529</v>
      </c>
      <c r="O124" s="17" t="s">
        <v>1635</v>
      </c>
    </row>
    <row r="125" spans="1:15">
      <c r="A125" s="16">
        <v>124</v>
      </c>
      <c r="B125" s="6" t="s">
        <v>571</v>
      </c>
      <c r="C125" s="6" t="s">
        <v>1649</v>
      </c>
      <c r="D125" s="13" t="s">
        <v>2036</v>
      </c>
      <c r="E125" s="13" t="s">
        <v>2037</v>
      </c>
      <c r="F125" s="5" t="s">
        <v>2038</v>
      </c>
      <c r="G125" s="5" t="s">
        <v>2039</v>
      </c>
      <c r="H125" s="6" t="s">
        <v>2040</v>
      </c>
      <c r="I125" s="7">
        <v>2014</v>
      </c>
      <c r="J125" s="7">
        <v>1</v>
      </c>
      <c r="K125" s="6" t="s">
        <v>2041</v>
      </c>
      <c r="L125" s="6" t="s">
        <v>569</v>
      </c>
      <c r="M125" s="7">
        <v>1</v>
      </c>
      <c r="N125" s="11" t="s">
        <v>2525</v>
      </c>
      <c r="O125" s="17" t="s">
        <v>1635</v>
      </c>
    </row>
    <row r="126" spans="1:15">
      <c r="A126" s="16">
        <v>125</v>
      </c>
      <c r="B126" s="6" t="s">
        <v>571</v>
      </c>
      <c r="C126" s="6" t="s">
        <v>1680</v>
      </c>
      <c r="D126" s="13" t="s">
        <v>2404</v>
      </c>
      <c r="E126" s="13" t="s">
        <v>1681</v>
      </c>
      <c r="F126" s="5" t="s">
        <v>1682</v>
      </c>
      <c r="G126" s="5" t="s">
        <v>1683</v>
      </c>
      <c r="H126" s="6" t="s">
        <v>1684</v>
      </c>
      <c r="I126" s="7">
        <v>2014</v>
      </c>
      <c r="J126" s="7">
        <v>1</v>
      </c>
      <c r="K126" s="6" t="s">
        <v>1685</v>
      </c>
      <c r="L126" s="6" t="s">
        <v>569</v>
      </c>
      <c r="M126" s="7">
        <v>1</v>
      </c>
      <c r="N126" s="11" t="s">
        <v>2532</v>
      </c>
      <c r="O126" s="17" t="s">
        <v>1635</v>
      </c>
    </row>
    <row r="127" spans="1:15">
      <c r="A127" s="16">
        <v>126</v>
      </c>
      <c r="B127" s="6" t="s">
        <v>571</v>
      </c>
      <c r="C127" s="6" t="s">
        <v>1680</v>
      </c>
      <c r="D127" s="13" t="s">
        <v>2404</v>
      </c>
      <c r="E127" s="13" t="s">
        <v>2195</v>
      </c>
      <c r="F127" s="5" t="s">
        <v>2196</v>
      </c>
      <c r="G127" s="5" t="s">
        <v>2197</v>
      </c>
      <c r="H127" s="6" t="s">
        <v>2198</v>
      </c>
      <c r="I127" s="7">
        <v>2014</v>
      </c>
      <c r="J127" s="7">
        <v>1</v>
      </c>
      <c r="K127" s="6" t="s">
        <v>2199</v>
      </c>
      <c r="L127" s="6" t="s">
        <v>569</v>
      </c>
      <c r="M127" s="7">
        <v>1</v>
      </c>
      <c r="N127" s="11" t="s">
        <v>2533</v>
      </c>
      <c r="O127" s="17" t="s">
        <v>1635</v>
      </c>
    </row>
    <row r="128" spans="1:15">
      <c r="A128" s="16">
        <v>127</v>
      </c>
      <c r="B128" s="6" t="s">
        <v>571</v>
      </c>
      <c r="C128" s="6" t="s">
        <v>1680</v>
      </c>
      <c r="D128" s="13" t="s">
        <v>2405</v>
      </c>
      <c r="E128" s="13" t="s">
        <v>2250</v>
      </c>
      <c r="F128" s="5" t="s">
        <v>2251</v>
      </c>
      <c r="G128" s="5" t="s">
        <v>2252</v>
      </c>
      <c r="H128" s="6" t="s">
        <v>2253</v>
      </c>
      <c r="I128" s="7">
        <v>2014</v>
      </c>
      <c r="J128" s="7">
        <v>1</v>
      </c>
      <c r="K128" s="6" t="s">
        <v>2254</v>
      </c>
      <c r="L128" s="6" t="s">
        <v>569</v>
      </c>
      <c r="M128" s="7">
        <v>1</v>
      </c>
      <c r="N128" s="11" t="s">
        <v>2534</v>
      </c>
      <c r="O128" s="17" t="s">
        <v>1635</v>
      </c>
    </row>
    <row r="129" spans="1:15">
      <c r="A129" s="16">
        <v>128</v>
      </c>
      <c r="B129" s="6" t="s">
        <v>571</v>
      </c>
      <c r="C129" s="6" t="s">
        <v>1680</v>
      </c>
      <c r="D129" s="13" t="s">
        <v>2265</v>
      </c>
      <c r="E129" s="13" t="s">
        <v>2266</v>
      </c>
      <c r="F129" s="5" t="s">
        <v>2267</v>
      </c>
      <c r="G129" s="5" t="s">
        <v>2268</v>
      </c>
      <c r="H129" s="6" t="s">
        <v>2269</v>
      </c>
      <c r="I129" s="7">
        <v>2014</v>
      </c>
      <c r="J129" s="7">
        <v>1</v>
      </c>
      <c r="K129" s="6" t="s">
        <v>2270</v>
      </c>
      <c r="L129" s="6" t="s">
        <v>569</v>
      </c>
      <c r="M129" s="7">
        <v>1</v>
      </c>
      <c r="N129" s="11" t="s">
        <v>2530</v>
      </c>
      <c r="O129" s="17" t="s">
        <v>1635</v>
      </c>
    </row>
    <row r="130" spans="1:15">
      <c r="A130" s="16">
        <v>129</v>
      </c>
      <c r="B130" s="6" t="s">
        <v>571</v>
      </c>
      <c r="C130" s="6" t="s">
        <v>1680</v>
      </c>
      <c r="D130" s="13" t="s">
        <v>1954</v>
      </c>
      <c r="E130" s="13" t="s">
        <v>2346</v>
      </c>
      <c r="F130" s="5" t="s">
        <v>2347</v>
      </c>
      <c r="G130" s="5" t="s">
        <v>2348</v>
      </c>
      <c r="H130" s="6" t="s">
        <v>2349</v>
      </c>
      <c r="I130" s="7">
        <v>2014</v>
      </c>
      <c r="J130" s="7">
        <v>1</v>
      </c>
      <c r="K130" s="6" t="s">
        <v>172</v>
      </c>
      <c r="L130" s="6" t="s">
        <v>569</v>
      </c>
      <c r="M130" s="7">
        <v>1</v>
      </c>
      <c r="N130" s="11" t="s">
        <v>2531</v>
      </c>
      <c r="O130" s="17" t="s">
        <v>1635</v>
      </c>
    </row>
    <row r="131" spans="1:15">
      <c r="A131" s="16">
        <v>130</v>
      </c>
      <c r="B131" s="9" t="s">
        <v>571</v>
      </c>
      <c r="C131" s="9" t="s">
        <v>1663</v>
      </c>
      <c r="D131" s="14" t="s">
        <v>121</v>
      </c>
      <c r="E131" s="14" t="s">
        <v>2378</v>
      </c>
      <c r="F131" s="8" t="s">
        <v>2379</v>
      </c>
      <c r="G131" s="8" t="s">
        <v>2380</v>
      </c>
      <c r="H131" s="9" t="s">
        <v>2381</v>
      </c>
      <c r="I131" s="10">
        <v>2011</v>
      </c>
      <c r="J131" s="10">
        <v>1</v>
      </c>
      <c r="K131" s="9" t="s">
        <v>2382</v>
      </c>
      <c r="L131" s="9" t="s">
        <v>569</v>
      </c>
      <c r="M131" s="10">
        <v>1</v>
      </c>
      <c r="N131" s="11" t="s">
        <v>2537</v>
      </c>
      <c r="O131" s="17" t="s">
        <v>1635</v>
      </c>
    </row>
    <row r="132" spans="1:15">
      <c r="A132" s="16">
        <v>131</v>
      </c>
      <c r="B132" s="6" t="s">
        <v>571</v>
      </c>
      <c r="C132" s="6" t="s">
        <v>1663</v>
      </c>
      <c r="D132" s="13" t="s">
        <v>1879</v>
      </c>
      <c r="E132" s="13" t="s">
        <v>2048</v>
      </c>
      <c r="F132" s="5" t="s">
        <v>2049</v>
      </c>
      <c r="G132" s="5" t="s">
        <v>2050</v>
      </c>
      <c r="H132" s="6" t="s">
        <v>2051</v>
      </c>
      <c r="I132" s="7">
        <v>2012</v>
      </c>
      <c r="J132" s="7">
        <v>1</v>
      </c>
      <c r="K132" s="6" t="s">
        <v>2052</v>
      </c>
      <c r="L132" s="6" t="s">
        <v>569</v>
      </c>
      <c r="M132" s="7">
        <v>1</v>
      </c>
      <c r="N132" s="11" t="s">
        <v>2539</v>
      </c>
      <c r="O132" s="17" t="s">
        <v>1635</v>
      </c>
    </row>
    <row r="133" spans="1:15">
      <c r="A133" s="16">
        <v>132</v>
      </c>
      <c r="B133" s="6" t="s">
        <v>571</v>
      </c>
      <c r="C133" s="6" t="s">
        <v>1663</v>
      </c>
      <c r="D133" s="13" t="s">
        <v>2021</v>
      </c>
      <c r="E133" s="13" t="s">
        <v>2022</v>
      </c>
      <c r="F133" s="5" t="s">
        <v>2023</v>
      </c>
      <c r="G133" s="5" t="s">
        <v>2024</v>
      </c>
      <c r="H133" s="6" t="s">
        <v>2025</v>
      </c>
      <c r="I133" s="7">
        <v>2013</v>
      </c>
      <c r="J133" s="7">
        <v>1</v>
      </c>
      <c r="K133" s="6" t="s">
        <v>2015</v>
      </c>
      <c r="L133" s="6" t="s">
        <v>569</v>
      </c>
      <c r="M133" s="7">
        <v>1</v>
      </c>
      <c r="N133" s="11" t="s">
        <v>2541</v>
      </c>
      <c r="O133" s="17" t="s">
        <v>1635</v>
      </c>
    </row>
    <row r="134" spans="1:15">
      <c r="A134" s="16">
        <v>133</v>
      </c>
      <c r="B134" s="6" t="s">
        <v>571</v>
      </c>
      <c r="C134" s="6" t="s">
        <v>1663</v>
      </c>
      <c r="D134" s="13" t="s">
        <v>2053</v>
      </c>
      <c r="E134" s="13" t="s">
        <v>2054</v>
      </c>
      <c r="F134" s="5" t="s">
        <v>2055</v>
      </c>
      <c r="G134" s="5" t="s">
        <v>2056</v>
      </c>
      <c r="H134" s="6" t="s">
        <v>2057</v>
      </c>
      <c r="I134" s="7">
        <v>2013</v>
      </c>
      <c r="J134" s="7">
        <v>1</v>
      </c>
      <c r="K134" s="6" t="s">
        <v>2058</v>
      </c>
      <c r="L134" s="6" t="s">
        <v>569</v>
      </c>
      <c r="M134" s="7">
        <v>1</v>
      </c>
      <c r="N134" s="11" t="s">
        <v>2540</v>
      </c>
      <c r="O134" s="17" t="s">
        <v>1635</v>
      </c>
    </row>
    <row r="135" spans="1:15">
      <c r="A135" s="16">
        <v>134</v>
      </c>
      <c r="B135" s="6" t="s">
        <v>571</v>
      </c>
      <c r="C135" s="6" t="s">
        <v>1663</v>
      </c>
      <c r="D135" s="13" t="s">
        <v>2181</v>
      </c>
      <c r="E135" s="13" t="s">
        <v>2182</v>
      </c>
      <c r="F135" s="5" t="s">
        <v>2183</v>
      </c>
      <c r="G135" s="5" t="s">
        <v>2184</v>
      </c>
      <c r="H135" s="6" t="s">
        <v>2185</v>
      </c>
      <c r="I135" s="7">
        <v>2013</v>
      </c>
      <c r="J135" s="7">
        <v>1</v>
      </c>
      <c r="K135" s="6" t="s">
        <v>556</v>
      </c>
      <c r="L135" s="6" t="s">
        <v>569</v>
      </c>
      <c r="M135" s="7">
        <v>1</v>
      </c>
      <c r="N135" s="11" t="s">
        <v>2535</v>
      </c>
      <c r="O135" s="17" t="s">
        <v>1635</v>
      </c>
    </row>
    <row r="136" spans="1:15">
      <c r="A136" s="16">
        <v>135</v>
      </c>
      <c r="B136" s="6" t="s">
        <v>571</v>
      </c>
      <c r="C136" s="6" t="s">
        <v>1663</v>
      </c>
      <c r="D136" s="13" t="s">
        <v>610</v>
      </c>
      <c r="E136" s="13" t="s">
        <v>1664</v>
      </c>
      <c r="F136" s="5" t="s">
        <v>1665</v>
      </c>
      <c r="G136" s="5" t="s">
        <v>1666</v>
      </c>
      <c r="H136" s="6" t="s">
        <v>1667</v>
      </c>
      <c r="I136" s="7">
        <v>2014</v>
      </c>
      <c r="J136" s="7">
        <v>1</v>
      </c>
      <c r="K136" s="6" t="s">
        <v>1668</v>
      </c>
      <c r="L136" s="6" t="s">
        <v>569</v>
      </c>
      <c r="M136" s="7">
        <v>1</v>
      </c>
      <c r="N136" s="11" t="s">
        <v>2538</v>
      </c>
      <c r="O136" s="17" t="s">
        <v>1635</v>
      </c>
    </row>
    <row r="137" spans="1:15">
      <c r="A137" s="16">
        <v>136</v>
      </c>
      <c r="B137" s="6" t="s">
        <v>571</v>
      </c>
      <c r="C137" s="6" t="s">
        <v>1663</v>
      </c>
      <c r="D137" s="13" t="s">
        <v>1954</v>
      </c>
      <c r="E137" s="13" t="s">
        <v>1955</v>
      </c>
      <c r="F137" s="5" t="s">
        <v>1956</v>
      </c>
      <c r="G137" s="5" t="s">
        <v>1957</v>
      </c>
      <c r="H137" s="6" t="s">
        <v>1958</v>
      </c>
      <c r="I137" s="7">
        <v>2014</v>
      </c>
      <c r="J137" s="7">
        <v>1</v>
      </c>
      <c r="K137" s="6" t="s">
        <v>1959</v>
      </c>
      <c r="L137" s="6" t="s">
        <v>569</v>
      </c>
      <c r="M137" s="7">
        <v>1</v>
      </c>
      <c r="N137" s="11" t="s">
        <v>2542</v>
      </c>
      <c r="O137" s="17" t="s">
        <v>1635</v>
      </c>
    </row>
    <row r="138" spans="1:15">
      <c r="A138" s="16">
        <v>137</v>
      </c>
      <c r="B138" s="6" t="s">
        <v>571</v>
      </c>
      <c r="C138" s="6" t="s">
        <v>1663</v>
      </c>
      <c r="D138" s="13" t="s">
        <v>2016</v>
      </c>
      <c r="E138" s="13" t="s">
        <v>2017</v>
      </c>
      <c r="F138" s="5" t="s">
        <v>2018</v>
      </c>
      <c r="G138" s="5" t="s">
        <v>2019</v>
      </c>
      <c r="H138" s="6" t="s">
        <v>2020</v>
      </c>
      <c r="I138" s="7">
        <v>2014</v>
      </c>
      <c r="J138" s="7">
        <v>1</v>
      </c>
      <c r="K138" s="6" t="s">
        <v>2015</v>
      </c>
      <c r="L138" s="6" t="s">
        <v>569</v>
      </c>
      <c r="M138" s="7">
        <v>1</v>
      </c>
      <c r="N138" s="11" t="s">
        <v>2536</v>
      </c>
      <c r="O138" s="17" t="s">
        <v>1635</v>
      </c>
    </row>
    <row r="139" spans="1:15">
      <c r="A139" s="16">
        <v>138</v>
      </c>
      <c r="B139" s="6" t="s">
        <v>571</v>
      </c>
      <c r="C139" s="6" t="s">
        <v>2009</v>
      </c>
      <c r="D139" s="13" t="s">
        <v>2010</v>
      </c>
      <c r="E139" s="13" t="s">
        <v>2011</v>
      </c>
      <c r="F139" s="5" t="s">
        <v>2012</v>
      </c>
      <c r="G139" s="5" t="s">
        <v>2013</v>
      </c>
      <c r="H139" s="6" t="s">
        <v>2014</v>
      </c>
      <c r="I139" s="7">
        <v>2014</v>
      </c>
      <c r="J139" s="7">
        <v>1</v>
      </c>
      <c r="K139" s="6" t="s">
        <v>2015</v>
      </c>
      <c r="L139" s="6" t="s">
        <v>569</v>
      </c>
      <c r="M139" s="7">
        <v>1</v>
      </c>
      <c r="N139" s="11" t="s">
        <v>2543</v>
      </c>
      <c r="O139" s="17" t="s">
        <v>1635</v>
      </c>
    </row>
    <row r="140" spans="1:15">
      <c r="A140" s="23">
        <v>139</v>
      </c>
      <c r="B140" s="24" t="s">
        <v>571</v>
      </c>
      <c r="C140" s="24" t="s">
        <v>2009</v>
      </c>
      <c r="D140" s="25" t="s">
        <v>2059</v>
      </c>
      <c r="E140" s="25" t="s">
        <v>2060</v>
      </c>
      <c r="F140" s="26" t="s">
        <v>2061</v>
      </c>
      <c r="G140" s="26" t="s">
        <v>2062</v>
      </c>
      <c r="H140" s="24" t="s">
        <v>2063</v>
      </c>
      <c r="I140" s="27">
        <v>2014</v>
      </c>
      <c r="J140" s="27">
        <v>1</v>
      </c>
      <c r="K140" s="24" t="s">
        <v>1544</v>
      </c>
      <c r="L140" s="24" t="s">
        <v>569</v>
      </c>
      <c r="M140" s="27">
        <v>1</v>
      </c>
      <c r="N140" s="28" t="s">
        <v>2544</v>
      </c>
      <c r="O140" s="29" t="s">
        <v>1635</v>
      </c>
    </row>
    <row r="141" spans="1:1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O141" s="15"/>
    </row>
  </sheetData>
  <phoneticPr fontId="3" type="noConversion"/>
  <hyperlinks>
    <hyperlink ref="N28" r:id="rId1" xr:uid="{00000000-0004-0000-0300-000000000000}"/>
    <hyperlink ref="N17" r:id="rId2" xr:uid="{00000000-0004-0000-0300-000001000000}"/>
    <hyperlink ref="N58" r:id="rId3" xr:uid="{00000000-0004-0000-0300-000002000000}"/>
  </hyperlinks>
  <pageMargins left="0.7" right="0.7" top="0.75" bottom="0.75" header="0.3" footer="0.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7"/>
  <sheetViews>
    <sheetView workbookViewId="0">
      <pane ySplit="1" topLeftCell="A2" activePane="bottomLeft" state="frozen"/>
      <selection pane="bottomLeft" activeCell="A2" sqref="A2"/>
    </sheetView>
  </sheetViews>
  <sheetFormatPr defaultColWidth="8.88671875" defaultRowHeight="20.100000000000001" customHeight="1"/>
  <cols>
    <col min="1" max="1" width="6.77734375" style="82" customWidth="1"/>
    <col min="2" max="2" width="13" style="83" hidden="1" customWidth="1"/>
    <col min="3" max="3" width="27.6640625" style="83" customWidth="1"/>
    <col min="4" max="4" width="8.88671875" style="84" hidden="1" customWidth="1"/>
    <col min="5" max="5" width="10.21875" style="84" hidden="1" customWidth="1"/>
    <col min="6" max="6" width="13.77734375" style="81" hidden="1" customWidth="1"/>
    <col min="7" max="7" width="12.21875" style="81" hidden="1" customWidth="1"/>
    <col min="8" max="8" width="88.109375" style="81" customWidth="1"/>
    <col min="9" max="10" width="4.44140625" style="82" hidden="1" customWidth="1"/>
    <col min="11" max="11" width="21.44140625" style="83" customWidth="1"/>
    <col min="12" max="12" width="10.77734375" style="83" hidden="1" customWidth="1"/>
    <col min="13" max="13" width="8.77734375" style="85" customWidth="1"/>
    <col min="14" max="14" width="70.44140625" style="90" customWidth="1"/>
    <col min="15" max="16384" width="8.88671875" style="81"/>
  </cols>
  <sheetData>
    <row r="1" spans="1:14" s="59" customFormat="1" ht="20.100000000000001" customHeight="1">
      <c r="A1" s="54" t="s">
        <v>5695</v>
      </c>
      <c r="B1" s="55" t="s">
        <v>5696</v>
      </c>
      <c r="C1" s="55" t="s">
        <v>5697</v>
      </c>
      <c r="D1" s="91" t="s">
        <v>5698</v>
      </c>
      <c r="E1" s="91" t="s">
        <v>5699</v>
      </c>
      <c r="F1" s="56" t="s">
        <v>5700</v>
      </c>
      <c r="G1" s="56" t="s">
        <v>5701</v>
      </c>
      <c r="H1" s="57" t="s">
        <v>5702</v>
      </c>
      <c r="I1" s="57" t="s">
        <v>5703</v>
      </c>
      <c r="J1" s="57" t="s">
        <v>5704</v>
      </c>
      <c r="K1" s="55" t="s">
        <v>5705</v>
      </c>
      <c r="L1" s="55" t="s">
        <v>5706</v>
      </c>
      <c r="M1" s="53" t="s">
        <v>5710</v>
      </c>
      <c r="N1" s="58" t="s">
        <v>5707</v>
      </c>
    </row>
    <row r="2" spans="1:14" s="67" customFormat="1" ht="20.100000000000001" customHeight="1">
      <c r="A2" s="60">
        <v>1</v>
      </c>
      <c r="B2" s="61" t="s">
        <v>5071</v>
      </c>
      <c r="C2" s="61" t="s">
        <v>1636</v>
      </c>
      <c r="D2" s="62" t="s">
        <v>1446</v>
      </c>
      <c r="E2" s="62" t="s">
        <v>5177</v>
      </c>
      <c r="F2" s="63">
        <v>9781466663091</v>
      </c>
      <c r="G2" s="63">
        <v>9781466663084</v>
      </c>
      <c r="H2" s="64" t="s">
        <v>5178</v>
      </c>
      <c r="I2" s="65">
        <v>1</v>
      </c>
      <c r="J2" s="65">
        <v>1</v>
      </c>
      <c r="K2" s="61" t="s">
        <v>578</v>
      </c>
      <c r="L2" s="61" t="s">
        <v>568</v>
      </c>
      <c r="M2" s="66">
        <v>2015</v>
      </c>
      <c r="N2" s="87" t="str">
        <f>HYPERLINK("http://services.igi-global.com/resolvedoi/resolve.aspx?doi=10.4018/978-1-46666-308-4")</f>
        <v>http://services.igi-global.com/resolvedoi/resolve.aspx?doi=10.4018/978-1-46666-308-4</v>
      </c>
    </row>
    <row r="3" spans="1:14" s="67" customFormat="1" ht="20.100000000000001" customHeight="1">
      <c r="A3" s="60">
        <v>2</v>
      </c>
      <c r="B3" s="61" t="s">
        <v>5071</v>
      </c>
      <c r="C3" s="61" t="s">
        <v>1636</v>
      </c>
      <c r="D3" s="62" t="s">
        <v>5187</v>
      </c>
      <c r="E3" s="62" t="s">
        <v>5188</v>
      </c>
      <c r="F3" s="63">
        <v>9781466664425</v>
      </c>
      <c r="G3" s="63">
        <v>9781466664418</v>
      </c>
      <c r="H3" s="64" t="s">
        <v>5189</v>
      </c>
      <c r="I3" s="65">
        <v>1</v>
      </c>
      <c r="J3" s="65">
        <v>1</v>
      </c>
      <c r="K3" s="61" t="s">
        <v>109</v>
      </c>
      <c r="L3" s="61" t="s">
        <v>568</v>
      </c>
      <c r="M3" s="66">
        <v>2015</v>
      </c>
      <c r="N3" s="87" t="str">
        <f>HYPERLINK("http://services.igi-global.com/resolvedoi/resolve.aspx?doi=10.4018/978-1-46666-441-8")</f>
        <v>http://services.igi-global.com/resolvedoi/resolve.aspx?doi=10.4018/978-1-46666-441-8</v>
      </c>
    </row>
    <row r="4" spans="1:14" s="67" customFormat="1" ht="20.100000000000001" customHeight="1">
      <c r="A4" s="60">
        <v>3</v>
      </c>
      <c r="B4" s="61" t="s">
        <v>5071</v>
      </c>
      <c r="C4" s="61" t="s">
        <v>1636</v>
      </c>
      <c r="D4" s="62" t="s">
        <v>5190</v>
      </c>
      <c r="E4" s="62" t="s">
        <v>5191</v>
      </c>
      <c r="F4" s="63">
        <v>9781466664463</v>
      </c>
      <c r="G4" s="63">
        <v>9781466664456</v>
      </c>
      <c r="H4" s="64" t="s">
        <v>5192</v>
      </c>
      <c r="I4" s="65">
        <v>1</v>
      </c>
      <c r="J4" s="65">
        <v>1</v>
      </c>
      <c r="K4" s="61" t="s">
        <v>5124</v>
      </c>
      <c r="L4" s="61" t="s">
        <v>568</v>
      </c>
      <c r="M4" s="66">
        <v>2015</v>
      </c>
      <c r="N4" s="87" t="str">
        <f>HYPERLINK("http://services.igi-global.com/resolvedoi/resolve.aspx?doi=10.4018/978-1-46666-445-6")</f>
        <v>http://services.igi-global.com/resolvedoi/resolve.aspx?doi=10.4018/978-1-46666-445-6</v>
      </c>
    </row>
    <row r="5" spans="1:14" s="67" customFormat="1" ht="20.100000000000001" customHeight="1">
      <c r="A5" s="60">
        <v>4</v>
      </c>
      <c r="B5" s="61" t="s">
        <v>5071</v>
      </c>
      <c r="C5" s="61" t="s">
        <v>1636</v>
      </c>
      <c r="D5" s="62" t="s">
        <v>503</v>
      </c>
      <c r="E5" s="62" t="s">
        <v>5193</v>
      </c>
      <c r="F5" s="63">
        <v>9781466664586</v>
      </c>
      <c r="G5" s="63">
        <v>9781466664579</v>
      </c>
      <c r="H5" s="64" t="s">
        <v>5194</v>
      </c>
      <c r="I5" s="65">
        <v>1</v>
      </c>
      <c r="J5" s="65">
        <v>1</v>
      </c>
      <c r="K5" s="61" t="s">
        <v>9</v>
      </c>
      <c r="L5" s="61" t="s">
        <v>568</v>
      </c>
      <c r="M5" s="66">
        <v>2015</v>
      </c>
      <c r="N5" s="87" t="str">
        <f>HYPERLINK("http://services.igi-global.com/resolvedoi/resolve.aspx?doi=10.4018/978-1-46666-457-9")</f>
        <v>http://services.igi-global.com/resolvedoi/resolve.aspx?doi=10.4018/978-1-46666-457-9</v>
      </c>
    </row>
    <row r="6" spans="1:14" s="67" customFormat="1" ht="20.100000000000001" customHeight="1">
      <c r="A6" s="60">
        <v>5</v>
      </c>
      <c r="B6" s="61" t="s">
        <v>5071</v>
      </c>
      <c r="C6" s="61" t="s">
        <v>1636</v>
      </c>
      <c r="D6" s="62" t="s">
        <v>4761</v>
      </c>
      <c r="E6" s="62" t="s">
        <v>5199</v>
      </c>
      <c r="F6" s="63">
        <v>9781466664708</v>
      </c>
      <c r="G6" s="63">
        <v>9781466664692</v>
      </c>
      <c r="H6" s="64" t="s">
        <v>5200</v>
      </c>
      <c r="I6" s="65">
        <v>1</v>
      </c>
      <c r="J6" s="65">
        <v>1</v>
      </c>
      <c r="K6" s="61" t="s">
        <v>5201</v>
      </c>
      <c r="L6" s="61" t="s">
        <v>568</v>
      </c>
      <c r="M6" s="66">
        <v>2015</v>
      </c>
      <c r="N6" s="87" t="str">
        <f>HYPERLINK("http://services.igi-global.com/resolvedoi/resolve.aspx?doi=10.4018/978-1-46666-469-2")</f>
        <v>http://services.igi-global.com/resolvedoi/resolve.aspx?doi=10.4018/978-1-46666-469-2</v>
      </c>
    </row>
    <row r="7" spans="1:14" s="67" customFormat="1" ht="20.100000000000001" customHeight="1">
      <c r="A7" s="60">
        <v>6</v>
      </c>
      <c r="B7" s="61" t="s">
        <v>5071</v>
      </c>
      <c r="C7" s="61" t="s">
        <v>1636</v>
      </c>
      <c r="D7" s="62" t="s">
        <v>1430</v>
      </c>
      <c r="E7" s="62" t="s">
        <v>5202</v>
      </c>
      <c r="F7" s="63">
        <v>9781466664746</v>
      </c>
      <c r="G7" s="63">
        <v>9781466664739</v>
      </c>
      <c r="H7" s="64" t="s">
        <v>5203</v>
      </c>
      <c r="I7" s="65">
        <v>1</v>
      </c>
      <c r="J7" s="65">
        <v>1</v>
      </c>
      <c r="K7" s="61" t="s">
        <v>5204</v>
      </c>
      <c r="L7" s="61" t="s">
        <v>568</v>
      </c>
      <c r="M7" s="66">
        <v>2015</v>
      </c>
      <c r="N7" s="87" t="str">
        <f>HYPERLINK("http://services.igi-global.com/resolvedoi/resolve.aspx?doi=10.4018/978-1-46666-473-9")</f>
        <v>http://services.igi-global.com/resolvedoi/resolve.aspx?doi=10.4018/978-1-46666-473-9</v>
      </c>
    </row>
    <row r="8" spans="1:14" s="67" customFormat="1" ht="20.100000000000001" customHeight="1">
      <c r="A8" s="60">
        <v>7</v>
      </c>
      <c r="B8" s="61" t="s">
        <v>5071</v>
      </c>
      <c r="C8" s="61" t="s">
        <v>1636</v>
      </c>
      <c r="D8" s="62" t="s">
        <v>5205</v>
      </c>
      <c r="E8" s="62" t="s">
        <v>5206</v>
      </c>
      <c r="F8" s="63">
        <v>9781466664784</v>
      </c>
      <c r="G8" s="63">
        <v>9781466664777</v>
      </c>
      <c r="H8" s="64" t="s">
        <v>5207</v>
      </c>
      <c r="I8" s="65">
        <v>1</v>
      </c>
      <c r="J8" s="65">
        <v>1</v>
      </c>
      <c r="K8" s="61" t="s">
        <v>5208</v>
      </c>
      <c r="L8" s="61" t="s">
        <v>568</v>
      </c>
      <c r="M8" s="66">
        <v>2015</v>
      </c>
      <c r="N8" s="87" t="str">
        <f>HYPERLINK("http://services.igi-global.com/resolvedoi/resolve.aspx?doi=10.4018/978-1-46666-477-7")</f>
        <v>http://services.igi-global.com/resolvedoi/resolve.aspx?doi=10.4018/978-1-46666-477-7</v>
      </c>
    </row>
    <row r="9" spans="1:14" s="67" customFormat="1" ht="20.100000000000001" customHeight="1">
      <c r="A9" s="60">
        <v>8</v>
      </c>
      <c r="B9" s="61" t="s">
        <v>5071</v>
      </c>
      <c r="C9" s="61" t="s">
        <v>1636</v>
      </c>
      <c r="D9" s="62" t="s">
        <v>5214</v>
      </c>
      <c r="E9" s="62" t="s">
        <v>5215</v>
      </c>
      <c r="F9" s="63">
        <v>9781466665149</v>
      </c>
      <c r="G9" s="63">
        <v>9781466665132</v>
      </c>
      <c r="H9" s="64" t="s">
        <v>5216</v>
      </c>
      <c r="I9" s="65">
        <v>1</v>
      </c>
      <c r="J9" s="65">
        <v>1</v>
      </c>
      <c r="K9" s="61" t="s">
        <v>5217</v>
      </c>
      <c r="L9" s="61" t="s">
        <v>568</v>
      </c>
      <c r="M9" s="66">
        <v>2015</v>
      </c>
      <c r="N9" s="87" t="str">
        <f>HYPERLINK("http://services.igi-global.com/resolvedoi/resolve.aspx?doi=10.4018/978-1-46666-513-2")</f>
        <v>http://services.igi-global.com/resolvedoi/resolve.aspx?doi=10.4018/978-1-46666-513-2</v>
      </c>
    </row>
    <row r="10" spans="1:14" s="67" customFormat="1" ht="20.100000000000001" customHeight="1">
      <c r="A10" s="60">
        <v>9</v>
      </c>
      <c r="B10" s="61" t="s">
        <v>5071</v>
      </c>
      <c r="C10" s="61" t="s">
        <v>1636</v>
      </c>
      <c r="D10" s="62" t="s">
        <v>489</v>
      </c>
      <c r="E10" s="62" t="s">
        <v>5222</v>
      </c>
      <c r="F10" s="63">
        <v>9781466665965</v>
      </c>
      <c r="G10" s="63">
        <v>9781466665958</v>
      </c>
      <c r="H10" s="64" t="s">
        <v>5223</v>
      </c>
      <c r="I10" s="65">
        <v>1</v>
      </c>
      <c r="J10" s="65">
        <v>1</v>
      </c>
      <c r="K10" s="61" t="s">
        <v>5224</v>
      </c>
      <c r="L10" s="61" t="s">
        <v>568</v>
      </c>
      <c r="M10" s="66">
        <v>2015</v>
      </c>
      <c r="N10" s="87" t="str">
        <f>HYPERLINK("http://services.igi-global.com/resolvedoi/resolve.aspx?doi=10.4018/978-1-46666-595-8")</f>
        <v>http://services.igi-global.com/resolvedoi/resolve.aspx?doi=10.4018/978-1-46666-595-8</v>
      </c>
    </row>
    <row r="11" spans="1:14" s="67" customFormat="1" ht="20.100000000000001" customHeight="1">
      <c r="A11" s="60">
        <v>10</v>
      </c>
      <c r="B11" s="61" t="s">
        <v>5071</v>
      </c>
      <c r="C11" s="61" t="s">
        <v>1636</v>
      </c>
      <c r="D11" s="62" t="s">
        <v>1398</v>
      </c>
      <c r="E11" s="62" t="s">
        <v>5240</v>
      </c>
      <c r="F11" s="63">
        <v>9781466666368</v>
      </c>
      <c r="G11" s="63">
        <v>9781466666351</v>
      </c>
      <c r="H11" s="64" t="s">
        <v>5241</v>
      </c>
      <c r="I11" s="65">
        <v>1</v>
      </c>
      <c r="J11" s="65">
        <v>1</v>
      </c>
      <c r="K11" s="61" t="s">
        <v>5242</v>
      </c>
      <c r="L11" s="61" t="s">
        <v>568</v>
      </c>
      <c r="M11" s="66">
        <v>2015</v>
      </c>
      <c r="N11" s="87" t="str">
        <f>HYPERLINK("http://services.igi-global.com/resolvedoi/resolve.aspx?doi=10.4018/978-1-46666-635-1")</f>
        <v>http://services.igi-global.com/resolvedoi/resolve.aspx?doi=10.4018/978-1-46666-635-1</v>
      </c>
    </row>
    <row r="12" spans="1:14" s="67" customFormat="1" ht="20.100000000000001" customHeight="1">
      <c r="A12" s="60">
        <v>11</v>
      </c>
      <c r="B12" s="61" t="s">
        <v>5071</v>
      </c>
      <c r="C12" s="61" t="s">
        <v>1636</v>
      </c>
      <c r="D12" s="62" t="s">
        <v>4382</v>
      </c>
      <c r="E12" s="62" t="s">
        <v>5247</v>
      </c>
      <c r="F12" s="63">
        <v>9781466672550</v>
      </c>
      <c r="G12" s="63">
        <v>9781466672543</v>
      </c>
      <c r="H12" s="64" t="s">
        <v>5248</v>
      </c>
      <c r="I12" s="65">
        <v>1</v>
      </c>
      <c r="J12" s="65">
        <v>1</v>
      </c>
      <c r="K12" s="61" t="s">
        <v>5249</v>
      </c>
      <c r="L12" s="61" t="s">
        <v>568</v>
      </c>
      <c r="M12" s="66">
        <v>2015</v>
      </c>
      <c r="N12" s="87" t="str">
        <f>HYPERLINK("http://services.igi-global.com/resolvedoi/resolve.aspx?doi=10.4018/978-1-46667-254-3")</f>
        <v>http://services.igi-global.com/resolvedoi/resolve.aspx?doi=10.4018/978-1-46667-254-3</v>
      </c>
    </row>
    <row r="13" spans="1:14" s="67" customFormat="1" ht="20.100000000000001" customHeight="1">
      <c r="A13" s="60">
        <v>12</v>
      </c>
      <c r="B13" s="61" t="s">
        <v>5071</v>
      </c>
      <c r="C13" s="61" t="s">
        <v>1636</v>
      </c>
      <c r="D13" s="62" t="s">
        <v>5250</v>
      </c>
      <c r="E13" s="62" t="s">
        <v>5251</v>
      </c>
      <c r="F13" s="63">
        <v>9781466672635</v>
      </c>
      <c r="G13" s="63">
        <v>9781466672628</v>
      </c>
      <c r="H13" s="64" t="s">
        <v>5252</v>
      </c>
      <c r="I13" s="65">
        <v>1</v>
      </c>
      <c r="J13" s="65">
        <v>1</v>
      </c>
      <c r="K13" s="61" t="s">
        <v>5253</v>
      </c>
      <c r="L13" s="61" t="s">
        <v>568</v>
      </c>
      <c r="M13" s="66">
        <v>2015</v>
      </c>
      <c r="N13" s="87" t="str">
        <f>HYPERLINK("http://services.igi-global.com/resolvedoi/resolve.aspx?doi=10.4018/978-1-46667-262-8")</f>
        <v>http://services.igi-global.com/resolvedoi/resolve.aspx?doi=10.4018/978-1-46667-262-8</v>
      </c>
    </row>
    <row r="14" spans="1:14" s="67" customFormat="1" ht="20.100000000000001" customHeight="1">
      <c r="A14" s="60">
        <v>13</v>
      </c>
      <c r="B14" s="61" t="s">
        <v>5071</v>
      </c>
      <c r="C14" s="61" t="s">
        <v>1636</v>
      </c>
      <c r="D14" s="62" t="s">
        <v>516</v>
      </c>
      <c r="E14" s="62" t="s">
        <v>5257</v>
      </c>
      <c r="F14" s="63">
        <v>9781466672734</v>
      </c>
      <c r="G14" s="63">
        <v>9781466672727</v>
      </c>
      <c r="H14" s="64" t="s">
        <v>5258</v>
      </c>
      <c r="I14" s="65">
        <v>1</v>
      </c>
      <c r="J14" s="65">
        <v>1</v>
      </c>
      <c r="K14" s="61" t="s">
        <v>572</v>
      </c>
      <c r="L14" s="61" t="s">
        <v>568</v>
      </c>
      <c r="M14" s="66">
        <v>2015</v>
      </c>
      <c r="N14" s="87" t="str">
        <f>HYPERLINK("http://services.igi-global.com/resolvedoi/resolve.aspx?doi=10.4018/978-1-46667-272-7")</f>
        <v>http://services.igi-global.com/resolvedoi/resolve.aspx?doi=10.4018/978-1-46667-272-7</v>
      </c>
    </row>
    <row r="15" spans="1:14" s="67" customFormat="1" ht="20.100000000000001" customHeight="1">
      <c r="A15" s="60">
        <v>14</v>
      </c>
      <c r="B15" s="61" t="s">
        <v>5071</v>
      </c>
      <c r="C15" s="61" t="s">
        <v>1636</v>
      </c>
      <c r="D15" s="62" t="s">
        <v>566</v>
      </c>
      <c r="E15" s="62" t="s">
        <v>5261</v>
      </c>
      <c r="F15" s="63">
        <v>9781466673335</v>
      </c>
      <c r="G15" s="63">
        <v>9781466673328</v>
      </c>
      <c r="H15" s="64" t="s">
        <v>5262</v>
      </c>
      <c r="I15" s="65">
        <v>1</v>
      </c>
      <c r="J15" s="65">
        <v>1</v>
      </c>
      <c r="K15" s="61" t="s">
        <v>5263</v>
      </c>
      <c r="L15" s="61" t="s">
        <v>568</v>
      </c>
      <c r="M15" s="66">
        <v>2015</v>
      </c>
      <c r="N15" s="87" t="str">
        <f>HYPERLINK("http://services.igi-global.com/resolvedoi/resolve.aspx?doi=10.4018/978-1-46667-332-8")</f>
        <v>http://services.igi-global.com/resolvedoi/resolve.aspx?doi=10.4018/978-1-46667-332-8</v>
      </c>
    </row>
    <row r="16" spans="1:14" s="67" customFormat="1" ht="20.100000000000001" customHeight="1">
      <c r="A16" s="60">
        <v>15</v>
      </c>
      <c r="B16" s="61" t="s">
        <v>5071</v>
      </c>
      <c r="C16" s="61" t="s">
        <v>1636</v>
      </c>
      <c r="D16" s="62" t="s">
        <v>901</v>
      </c>
      <c r="E16" s="62" t="s">
        <v>5270</v>
      </c>
      <c r="F16" s="63">
        <v>9781466673946</v>
      </c>
      <c r="G16" s="63">
        <v>9781466673939</v>
      </c>
      <c r="H16" s="64" t="s">
        <v>5271</v>
      </c>
      <c r="I16" s="65">
        <v>1</v>
      </c>
      <c r="J16" s="65">
        <v>1</v>
      </c>
      <c r="K16" s="61" t="s">
        <v>5272</v>
      </c>
      <c r="L16" s="61" t="s">
        <v>569</v>
      </c>
      <c r="M16" s="66">
        <v>2015</v>
      </c>
      <c r="N16" s="87" t="str">
        <f>HYPERLINK("http://services.igi-global.com/resolvedoi/resolve.aspx?doi=10.4018/978-1-46667-393-9")</f>
        <v>http://services.igi-global.com/resolvedoi/resolve.aspx?doi=10.4018/978-1-46667-393-9</v>
      </c>
    </row>
    <row r="17" spans="1:14" s="67" customFormat="1" ht="20.100000000000001" customHeight="1">
      <c r="A17" s="60">
        <v>16</v>
      </c>
      <c r="B17" s="61" t="s">
        <v>5071</v>
      </c>
      <c r="C17" s="61" t="s">
        <v>1636</v>
      </c>
      <c r="D17" s="62" t="s">
        <v>514</v>
      </c>
      <c r="E17" s="62" t="s">
        <v>5287</v>
      </c>
      <c r="F17" s="63">
        <v>9781466674745</v>
      </c>
      <c r="G17" s="63">
        <v>9781466674738</v>
      </c>
      <c r="H17" s="64" t="s">
        <v>5288</v>
      </c>
      <c r="I17" s="65">
        <v>1</v>
      </c>
      <c r="J17" s="65">
        <v>1</v>
      </c>
      <c r="K17" s="61" t="s">
        <v>5289</v>
      </c>
      <c r="L17" s="61" t="s">
        <v>568</v>
      </c>
      <c r="M17" s="66">
        <v>2015</v>
      </c>
      <c r="N17" s="87" t="str">
        <f>HYPERLINK("http://services.igi-global.com/resolvedoi/resolve.aspx?doi=10.4018/978-1-46667-473-8")</f>
        <v>http://services.igi-global.com/resolvedoi/resolve.aspx?doi=10.4018/978-1-46667-473-8</v>
      </c>
    </row>
    <row r="18" spans="1:14" s="67" customFormat="1" ht="20.100000000000001" customHeight="1">
      <c r="A18" s="60">
        <v>17</v>
      </c>
      <c r="B18" s="61" t="s">
        <v>5071</v>
      </c>
      <c r="C18" s="61" t="s">
        <v>1636</v>
      </c>
      <c r="D18" s="62" t="s">
        <v>5290</v>
      </c>
      <c r="E18" s="62" t="s">
        <v>5291</v>
      </c>
      <c r="F18" s="63">
        <v>9781466674851</v>
      </c>
      <c r="G18" s="63">
        <v>9781466674844</v>
      </c>
      <c r="H18" s="64" t="s">
        <v>5292</v>
      </c>
      <c r="I18" s="65">
        <v>1</v>
      </c>
      <c r="J18" s="65">
        <v>1</v>
      </c>
      <c r="K18" s="61" t="s">
        <v>5293</v>
      </c>
      <c r="L18" s="61" t="s">
        <v>568</v>
      </c>
      <c r="M18" s="66">
        <v>2015</v>
      </c>
      <c r="N18" s="87" t="str">
        <f>HYPERLINK("http://services.igi-global.com/resolvedoi/resolve.aspx?doi=10.4018/978-1-46667-484-4")</f>
        <v>http://services.igi-global.com/resolvedoi/resolve.aspx?doi=10.4018/978-1-46667-484-4</v>
      </c>
    </row>
    <row r="19" spans="1:14" s="67" customFormat="1" ht="20.100000000000001" customHeight="1">
      <c r="A19" s="60">
        <v>18</v>
      </c>
      <c r="B19" s="61" t="s">
        <v>5071</v>
      </c>
      <c r="C19" s="61" t="s">
        <v>1636</v>
      </c>
      <c r="D19" s="62" t="s">
        <v>5173</v>
      </c>
      <c r="E19" s="62" t="s">
        <v>5301</v>
      </c>
      <c r="F19" s="63">
        <v>9781466675193</v>
      </c>
      <c r="G19" s="63">
        <v>9781466675186</v>
      </c>
      <c r="H19" s="64" t="s">
        <v>5302</v>
      </c>
      <c r="I19" s="65">
        <v>1</v>
      </c>
      <c r="J19" s="65">
        <v>1</v>
      </c>
      <c r="K19" s="61" t="s">
        <v>5303</v>
      </c>
      <c r="L19" s="61" t="s">
        <v>568</v>
      </c>
      <c r="M19" s="66">
        <v>2015</v>
      </c>
      <c r="N19" s="87" t="str">
        <f>HYPERLINK("http://services.igi-global.com/resolvedoi/resolve.aspx?doi=10.4018/978-1-46667-518-6")</f>
        <v>http://services.igi-global.com/resolvedoi/resolve.aspx?doi=10.4018/978-1-46667-518-6</v>
      </c>
    </row>
    <row r="20" spans="1:14" s="67" customFormat="1" ht="20.100000000000001" customHeight="1">
      <c r="A20" s="60">
        <v>19</v>
      </c>
      <c r="B20" s="61" t="s">
        <v>5071</v>
      </c>
      <c r="C20" s="61" t="s">
        <v>1636</v>
      </c>
      <c r="D20" s="62" t="s">
        <v>5304</v>
      </c>
      <c r="E20" s="62" t="s">
        <v>5305</v>
      </c>
      <c r="F20" s="63">
        <v>9781466675285</v>
      </c>
      <c r="G20" s="63">
        <v>9781466675278</v>
      </c>
      <c r="H20" s="64" t="s">
        <v>5306</v>
      </c>
      <c r="I20" s="65">
        <v>1</v>
      </c>
      <c r="J20" s="65">
        <v>1</v>
      </c>
      <c r="K20" s="61" t="s">
        <v>5307</v>
      </c>
      <c r="L20" s="61" t="s">
        <v>568</v>
      </c>
      <c r="M20" s="66">
        <v>2015</v>
      </c>
      <c r="N20" s="87" t="str">
        <f>HYPERLINK("http://services.igi-global.com/resolvedoi/resolve.aspx?doi=10.4018/978-1-46667-527-8")</f>
        <v>http://services.igi-global.com/resolvedoi/resolve.aspx?doi=10.4018/978-1-46667-527-8</v>
      </c>
    </row>
    <row r="21" spans="1:14" s="67" customFormat="1" ht="20.100000000000001" customHeight="1">
      <c r="A21" s="60">
        <v>20</v>
      </c>
      <c r="B21" s="61" t="s">
        <v>5071</v>
      </c>
      <c r="C21" s="61" t="s">
        <v>1636</v>
      </c>
      <c r="D21" s="62" t="s">
        <v>489</v>
      </c>
      <c r="E21" s="62" t="s">
        <v>5314</v>
      </c>
      <c r="F21" s="63">
        <v>9781466681347</v>
      </c>
      <c r="G21" s="63">
        <v>9781466681330</v>
      </c>
      <c r="H21" s="64" t="s">
        <v>5315</v>
      </c>
      <c r="I21" s="65">
        <v>1</v>
      </c>
      <c r="J21" s="65">
        <v>1</v>
      </c>
      <c r="K21" s="61" t="s">
        <v>2596</v>
      </c>
      <c r="L21" s="61" t="s">
        <v>568</v>
      </c>
      <c r="M21" s="66">
        <v>2015</v>
      </c>
      <c r="N21" s="87" t="str">
        <f>HYPERLINK("http://services.igi-global.com/resolvedoi/resolve.aspx?doi=10.4018/978-1-46668-133-0")</f>
        <v>http://services.igi-global.com/resolvedoi/resolve.aspx?doi=10.4018/978-1-46668-133-0</v>
      </c>
    </row>
    <row r="22" spans="1:14" s="67" customFormat="1" ht="20.100000000000001" customHeight="1">
      <c r="A22" s="60">
        <v>21</v>
      </c>
      <c r="B22" s="61" t="s">
        <v>5071</v>
      </c>
      <c r="C22" s="61" t="s">
        <v>1636</v>
      </c>
      <c r="D22" s="62" t="s">
        <v>5324</v>
      </c>
      <c r="E22" s="62" t="s">
        <v>5325</v>
      </c>
      <c r="F22" s="63">
        <v>9781466681682</v>
      </c>
      <c r="G22" s="63">
        <v>9781466681675</v>
      </c>
      <c r="H22" s="64" t="s">
        <v>5326</v>
      </c>
      <c r="I22" s="65">
        <v>1</v>
      </c>
      <c r="J22" s="65">
        <v>1</v>
      </c>
      <c r="K22" s="61" t="s">
        <v>5327</v>
      </c>
      <c r="L22" s="61" t="s">
        <v>568</v>
      </c>
      <c r="M22" s="66">
        <v>2015</v>
      </c>
      <c r="N22" s="87" t="str">
        <f>HYPERLINK("http://services.igi-global.com/resolvedoi/resolve.aspx?doi=10.4018/978-1-46668-167-5")</f>
        <v>http://services.igi-global.com/resolvedoi/resolve.aspx?doi=10.4018/978-1-46668-167-5</v>
      </c>
    </row>
    <row r="23" spans="1:14" s="67" customFormat="1" ht="20.100000000000001" customHeight="1">
      <c r="A23" s="60">
        <v>22</v>
      </c>
      <c r="B23" s="61" t="s">
        <v>5071</v>
      </c>
      <c r="C23" s="61" t="s">
        <v>1636</v>
      </c>
      <c r="D23" s="62" t="s">
        <v>5332</v>
      </c>
      <c r="E23" s="62" t="s">
        <v>5333</v>
      </c>
      <c r="F23" s="63">
        <v>9781466682177</v>
      </c>
      <c r="G23" s="63">
        <v>9781466682160</v>
      </c>
      <c r="H23" s="64" t="s">
        <v>5334</v>
      </c>
      <c r="I23" s="65">
        <v>1</v>
      </c>
      <c r="J23" s="65">
        <v>1</v>
      </c>
      <c r="K23" s="61" t="s">
        <v>5335</v>
      </c>
      <c r="L23" s="61" t="s">
        <v>568</v>
      </c>
      <c r="M23" s="66">
        <v>2015</v>
      </c>
      <c r="N23" s="87" t="str">
        <f>HYPERLINK("http://services.igi-global.com/resolvedoi/resolve.aspx?doi=10.4018/978-1-46668-216-0")</f>
        <v>http://services.igi-global.com/resolvedoi/resolve.aspx?doi=10.4018/978-1-46668-216-0</v>
      </c>
    </row>
    <row r="24" spans="1:14" s="67" customFormat="1" ht="20.100000000000001" customHeight="1">
      <c r="A24" s="60">
        <v>23</v>
      </c>
      <c r="B24" s="61" t="s">
        <v>5071</v>
      </c>
      <c r="C24" s="61" t="s">
        <v>1636</v>
      </c>
      <c r="D24" s="62" t="s">
        <v>1398</v>
      </c>
      <c r="E24" s="62" t="s">
        <v>5336</v>
      </c>
      <c r="F24" s="63">
        <v>9781466682207</v>
      </c>
      <c r="G24" s="63">
        <v>9781466682191</v>
      </c>
      <c r="H24" s="64" t="s">
        <v>5337</v>
      </c>
      <c r="I24" s="65">
        <v>1</v>
      </c>
      <c r="J24" s="65">
        <v>1</v>
      </c>
      <c r="K24" s="61" t="s">
        <v>3309</v>
      </c>
      <c r="L24" s="61" t="s">
        <v>568</v>
      </c>
      <c r="M24" s="66">
        <v>2015</v>
      </c>
      <c r="N24" s="87" t="str">
        <f>HYPERLINK("http://services.igi-global.com/resolvedoi/resolve.aspx?doi=10.4018/978-1-46668-219-1")</f>
        <v>http://services.igi-global.com/resolvedoi/resolve.aspx?doi=10.4018/978-1-46668-219-1</v>
      </c>
    </row>
    <row r="25" spans="1:14" s="67" customFormat="1" ht="20.100000000000001" customHeight="1">
      <c r="A25" s="60">
        <v>24</v>
      </c>
      <c r="B25" s="61" t="s">
        <v>5071</v>
      </c>
      <c r="C25" s="61" t="s">
        <v>1636</v>
      </c>
      <c r="D25" s="62" t="s">
        <v>5342</v>
      </c>
      <c r="E25" s="62" t="s">
        <v>5343</v>
      </c>
      <c r="F25" s="63">
        <v>9781466682696</v>
      </c>
      <c r="G25" s="63">
        <v>9781466682689</v>
      </c>
      <c r="H25" s="64" t="s">
        <v>5344</v>
      </c>
      <c r="I25" s="65">
        <v>1</v>
      </c>
      <c r="J25" s="65">
        <v>1</v>
      </c>
      <c r="K25" s="61" t="s">
        <v>5345</v>
      </c>
      <c r="L25" s="61" t="s">
        <v>568</v>
      </c>
      <c r="M25" s="66">
        <v>2015</v>
      </c>
      <c r="N25" s="87" t="str">
        <f>HYPERLINK("http://services.igi-global.com/resolvedoi/resolve.aspx?doi=10.4018/978-1-46668-268-9")</f>
        <v>http://services.igi-global.com/resolvedoi/resolve.aspx?doi=10.4018/978-1-46668-268-9</v>
      </c>
    </row>
    <row r="26" spans="1:14" s="67" customFormat="1" ht="20.100000000000001" customHeight="1">
      <c r="A26" s="60">
        <v>25</v>
      </c>
      <c r="B26" s="61" t="s">
        <v>5071</v>
      </c>
      <c r="C26" s="61" t="s">
        <v>1636</v>
      </c>
      <c r="D26" s="62" t="s">
        <v>4731</v>
      </c>
      <c r="E26" s="62" t="s">
        <v>5349</v>
      </c>
      <c r="F26" s="63">
        <v>9781466682986</v>
      </c>
      <c r="G26" s="63">
        <v>9781466682979</v>
      </c>
      <c r="H26" s="64" t="s">
        <v>5350</v>
      </c>
      <c r="I26" s="65">
        <v>1</v>
      </c>
      <c r="J26" s="65">
        <v>1</v>
      </c>
      <c r="K26" s="61" t="s">
        <v>4736</v>
      </c>
      <c r="L26" s="61" t="s">
        <v>568</v>
      </c>
      <c r="M26" s="66">
        <v>2015</v>
      </c>
      <c r="N26" s="87" t="str">
        <f>HYPERLINK("http://services.igi-global.com/resolvedoi/resolve.aspx?doi=10.4018/978-1-46668-297-9")</f>
        <v>http://services.igi-global.com/resolvedoi/resolve.aspx?doi=10.4018/978-1-46668-297-9</v>
      </c>
    </row>
    <row r="27" spans="1:14" s="67" customFormat="1" ht="20.100000000000001" customHeight="1">
      <c r="A27" s="60">
        <v>26</v>
      </c>
      <c r="B27" s="61" t="s">
        <v>5071</v>
      </c>
      <c r="C27" s="61" t="s">
        <v>1636</v>
      </c>
      <c r="D27" s="62" t="s">
        <v>5360</v>
      </c>
      <c r="E27" s="62" t="s">
        <v>5361</v>
      </c>
      <c r="F27" s="63">
        <v>9781466683310</v>
      </c>
      <c r="G27" s="63">
        <v>9781466683303</v>
      </c>
      <c r="H27" s="64" t="s">
        <v>5362</v>
      </c>
      <c r="I27" s="65">
        <v>1</v>
      </c>
      <c r="J27" s="65">
        <v>1</v>
      </c>
      <c r="K27" s="61" t="s">
        <v>5363</v>
      </c>
      <c r="L27" s="61" t="s">
        <v>568</v>
      </c>
      <c r="M27" s="66">
        <v>2015</v>
      </c>
      <c r="N27" s="87" t="str">
        <f>HYPERLINK("http://services.igi-global.com/resolvedoi/resolve.aspx?doi=10.4018/978-1-46668-330-3")</f>
        <v>http://services.igi-global.com/resolvedoi/resolve.aspx?doi=10.4018/978-1-46668-330-3</v>
      </c>
    </row>
    <row r="28" spans="1:14" s="67" customFormat="1" ht="20.100000000000001" customHeight="1">
      <c r="A28" s="60">
        <v>27</v>
      </c>
      <c r="B28" s="61" t="s">
        <v>5071</v>
      </c>
      <c r="C28" s="61" t="s">
        <v>1636</v>
      </c>
      <c r="D28" s="62" t="s">
        <v>5190</v>
      </c>
      <c r="E28" s="62" t="s">
        <v>5367</v>
      </c>
      <c r="F28" s="63">
        <v>9781466683402</v>
      </c>
      <c r="G28" s="63">
        <v>9781466683396</v>
      </c>
      <c r="H28" s="64" t="s">
        <v>5368</v>
      </c>
      <c r="I28" s="65">
        <v>1</v>
      </c>
      <c r="J28" s="65">
        <v>1</v>
      </c>
      <c r="K28" s="61" t="s">
        <v>5369</v>
      </c>
      <c r="L28" s="61" t="s">
        <v>568</v>
      </c>
      <c r="M28" s="66">
        <v>2015</v>
      </c>
      <c r="N28" s="87" t="str">
        <f>HYPERLINK("http://services.igi-global.com/resolvedoi/resolve.aspx?doi=10.4018/978-1-46668-339-6")</f>
        <v>http://services.igi-global.com/resolvedoi/resolve.aspx?doi=10.4018/978-1-46668-339-6</v>
      </c>
    </row>
    <row r="29" spans="1:14" s="67" customFormat="1" ht="20.100000000000001" customHeight="1">
      <c r="A29" s="60">
        <v>28</v>
      </c>
      <c r="B29" s="61" t="s">
        <v>5071</v>
      </c>
      <c r="C29" s="61" t="s">
        <v>1636</v>
      </c>
      <c r="D29" s="62" t="s">
        <v>901</v>
      </c>
      <c r="E29" s="62" t="s">
        <v>5370</v>
      </c>
      <c r="F29" s="63">
        <v>9781466683433</v>
      </c>
      <c r="G29" s="63">
        <v>9781466683426</v>
      </c>
      <c r="H29" s="64" t="s">
        <v>5371</v>
      </c>
      <c r="I29" s="65">
        <v>1</v>
      </c>
      <c r="J29" s="65">
        <v>1</v>
      </c>
      <c r="K29" s="61" t="s">
        <v>5372</v>
      </c>
      <c r="L29" s="61" t="s">
        <v>568</v>
      </c>
      <c r="M29" s="66">
        <v>2015</v>
      </c>
      <c r="N29" s="87" t="str">
        <f>HYPERLINK("http://services.igi-global.com/resolvedoi/resolve.aspx?doi=10.4018/978-1-46668-342-6")</f>
        <v>http://services.igi-global.com/resolvedoi/resolve.aspx?doi=10.4018/978-1-46668-342-6</v>
      </c>
    </row>
    <row r="30" spans="1:14" s="67" customFormat="1" ht="20.100000000000001" customHeight="1">
      <c r="A30" s="60">
        <v>29</v>
      </c>
      <c r="B30" s="61" t="s">
        <v>5071</v>
      </c>
      <c r="C30" s="61" t="s">
        <v>1636</v>
      </c>
      <c r="D30" s="62" t="s">
        <v>5373</v>
      </c>
      <c r="E30" s="62" t="s">
        <v>5374</v>
      </c>
      <c r="F30" s="63">
        <v>9781466683495</v>
      </c>
      <c r="G30" s="63">
        <v>9781466683488</v>
      </c>
      <c r="H30" s="64" t="s">
        <v>5375</v>
      </c>
      <c r="I30" s="65">
        <v>1</v>
      </c>
      <c r="J30" s="65">
        <v>1</v>
      </c>
      <c r="K30" s="61" t="s">
        <v>5376</v>
      </c>
      <c r="L30" s="61" t="s">
        <v>568</v>
      </c>
      <c r="M30" s="66">
        <v>2015</v>
      </c>
      <c r="N30" s="87" t="str">
        <f>HYPERLINK("http://services.igi-global.com/resolvedoi/resolve.aspx?doi=10.4018/978-1-46668-348-8")</f>
        <v>http://services.igi-global.com/resolvedoi/resolve.aspx?doi=10.4018/978-1-46668-348-8</v>
      </c>
    </row>
    <row r="31" spans="1:14" s="67" customFormat="1" ht="20.100000000000001" customHeight="1">
      <c r="A31" s="60">
        <v>30</v>
      </c>
      <c r="B31" s="61" t="s">
        <v>5071</v>
      </c>
      <c r="C31" s="61" t="s">
        <v>1636</v>
      </c>
      <c r="D31" s="62" t="s">
        <v>489</v>
      </c>
      <c r="E31" s="62" t="s">
        <v>5377</v>
      </c>
      <c r="F31" s="63">
        <v>9781466683549</v>
      </c>
      <c r="G31" s="63">
        <v>9781466683532</v>
      </c>
      <c r="H31" s="64" t="s">
        <v>5378</v>
      </c>
      <c r="I31" s="65">
        <v>1</v>
      </c>
      <c r="J31" s="65">
        <v>1</v>
      </c>
      <c r="K31" s="61" t="s">
        <v>5379</v>
      </c>
      <c r="L31" s="61" t="s">
        <v>569</v>
      </c>
      <c r="M31" s="66">
        <v>2015</v>
      </c>
      <c r="N31" s="87" t="str">
        <f>HYPERLINK("http://services.igi-global.com/resolvedoi/resolve.aspx?doi=10.4018/978-1-46668-353-2")</f>
        <v>http://services.igi-global.com/resolvedoi/resolve.aspx?doi=10.4018/978-1-46668-353-2</v>
      </c>
    </row>
    <row r="32" spans="1:14" s="67" customFormat="1" ht="20.100000000000001" customHeight="1">
      <c r="A32" s="60">
        <v>31</v>
      </c>
      <c r="B32" s="61" t="s">
        <v>5071</v>
      </c>
      <c r="C32" s="61" t="s">
        <v>1636</v>
      </c>
      <c r="D32" s="62" t="s">
        <v>489</v>
      </c>
      <c r="E32" s="62" t="s">
        <v>5390</v>
      </c>
      <c r="F32" s="63">
        <v>9781466684096</v>
      </c>
      <c r="G32" s="63">
        <v>9781466684089</v>
      </c>
      <c r="H32" s="64" t="s">
        <v>5391</v>
      </c>
      <c r="I32" s="65">
        <v>1</v>
      </c>
      <c r="J32" s="65">
        <v>1</v>
      </c>
      <c r="K32" s="61" t="s">
        <v>5392</v>
      </c>
      <c r="L32" s="61" t="s">
        <v>568</v>
      </c>
      <c r="M32" s="66">
        <v>2015</v>
      </c>
      <c r="N32" s="87" t="str">
        <f>HYPERLINK("http://services.igi-global.com/resolvedoi/resolve.aspx?doi=10.4018/978-1-46668-408-9")</f>
        <v>http://services.igi-global.com/resolvedoi/resolve.aspx?doi=10.4018/978-1-46668-408-9</v>
      </c>
    </row>
    <row r="33" spans="1:14" s="67" customFormat="1" ht="20.100000000000001" customHeight="1">
      <c r="A33" s="60">
        <v>32</v>
      </c>
      <c r="B33" s="61" t="s">
        <v>5071</v>
      </c>
      <c r="C33" s="61" t="s">
        <v>1636</v>
      </c>
      <c r="D33" s="62" t="s">
        <v>5108</v>
      </c>
      <c r="E33" s="62" t="s">
        <v>5109</v>
      </c>
      <c r="F33" s="63">
        <v>9781466646643</v>
      </c>
      <c r="G33" s="63">
        <v>9781466646636</v>
      </c>
      <c r="H33" s="64" t="s">
        <v>5110</v>
      </c>
      <c r="I33" s="65">
        <v>1</v>
      </c>
      <c r="J33" s="65">
        <v>1</v>
      </c>
      <c r="K33" s="61" t="s">
        <v>5111</v>
      </c>
      <c r="L33" s="61" t="s">
        <v>568</v>
      </c>
      <c r="M33" s="66">
        <v>2014</v>
      </c>
      <c r="N33" s="87" t="str">
        <f>HYPERLINK("http://services.igi-global.com/resolvedoi/resolve.aspx?doi=10.4018/978-1-46664-663-6")</f>
        <v>http://services.igi-global.com/resolvedoi/resolve.aspx?doi=10.4018/978-1-46664-663-6</v>
      </c>
    </row>
    <row r="34" spans="1:14" s="67" customFormat="1" ht="20.100000000000001" customHeight="1">
      <c r="A34" s="60">
        <v>33</v>
      </c>
      <c r="B34" s="61" t="s">
        <v>5071</v>
      </c>
      <c r="C34" s="61" t="s">
        <v>1636</v>
      </c>
      <c r="D34" s="62" t="s">
        <v>1917</v>
      </c>
      <c r="E34" s="62" t="s">
        <v>5112</v>
      </c>
      <c r="F34" s="63">
        <v>9781466646728</v>
      </c>
      <c r="G34" s="63">
        <v>9781466646711</v>
      </c>
      <c r="H34" s="64" t="s">
        <v>5113</v>
      </c>
      <c r="I34" s="65">
        <v>1</v>
      </c>
      <c r="J34" s="65">
        <v>1</v>
      </c>
      <c r="K34" s="61" t="s">
        <v>5114</v>
      </c>
      <c r="L34" s="61" t="s">
        <v>568</v>
      </c>
      <c r="M34" s="66">
        <v>2014</v>
      </c>
      <c r="N34" s="87" t="str">
        <f>HYPERLINK("http://services.igi-global.com/resolvedoi/resolve.aspx?doi=10.4018/978-1-46664-671-1")</f>
        <v>http://services.igi-global.com/resolvedoi/resolve.aspx?doi=10.4018/978-1-46664-671-1</v>
      </c>
    </row>
    <row r="35" spans="1:14" s="67" customFormat="1" ht="20.100000000000001" customHeight="1">
      <c r="A35" s="60">
        <v>34</v>
      </c>
      <c r="B35" s="61" t="s">
        <v>5071</v>
      </c>
      <c r="C35" s="61" t="s">
        <v>1636</v>
      </c>
      <c r="D35" s="62" t="s">
        <v>524</v>
      </c>
      <c r="E35" s="62" t="s">
        <v>5122</v>
      </c>
      <c r="F35" s="63">
        <v>9781466648852</v>
      </c>
      <c r="G35" s="63">
        <v>9781466648845</v>
      </c>
      <c r="H35" s="64" t="s">
        <v>5123</v>
      </c>
      <c r="I35" s="65">
        <v>1</v>
      </c>
      <c r="J35" s="65">
        <v>1</v>
      </c>
      <c r="K35" s="61" t="s">
        <v>5124</v>
      </c>
      <c r="L35" s="61" t="s">
        <v>568</v>
      </c>
      <c r="M35" s="66">
        <v>2014</v>
      </c>
      <c r="N35" s="87" t="str">
        <f>HYPERLINK("http://services.igi-global.com/resolvedoi/resolve.aspx?doi=10.4018/978-1-46664-884-5")</f>
        <v>http://services.igi-global.com/resolvedoi/resolve.aspx?doi=10.4018/978-1-46664-884-5</v>
      </c>
    </row>
    <row r="36" spans="1:14" s="67" customFormat="1" ht="20.100000000000001" customHeight="1">
      <c r="A36" s="60">
        <v>35</v>
      </c>
      <c r="B36" s="61" t="s">
        <v>5071</v>
      </c>
      <c r="C36" s="61" t="s">
        <v>1636</v>
      </c>
      <c r="D36" s="62" t="s">
        <v>491</v>
      </c>
      <c r="E36" s="62" t="s">
        <v>5125</v>
      </c>
      <c r="F36" s="63">
        <v>9781466649842</v>
      </c>
      <c r="G36" s="63">
        <v>9781466649835</v>
      </c>
      <c r="H36" s="64" t="s">
        <v>5126</v>
      </c>
      <c r="I36" s="65">
        <v>1</v>
      </c>
      <c r="J36" s="65">
        <v>1</v>
      </c>
      <c r="K36" s="61" t="s">
        <v>5127</v>
      </c>
      <c r="L36" s="61" t="s">
        <v>568</v>
      </c>
      <c r="M36" s="66">
        <v>2014</v>
      </c>
      <c r="N36" s="87" t="str">
        <f>HYPERLINK("http://services.igi-global.com/resolvedoi/resolve.aspx?doi=10.4018/978-1-46664-983-5")</f>
        <v>http://services.igi-global.com/resolvedoi/resolve.aspx?doi=10.4018/978-1-46664-983-5</v>
      </c>
    </row>
    <row r="37" spans="1:14" s="67" customFormat="1" ht="20.100000000000001" customHeight="1">
      <c r="A37" s="60">
        <v>36</v>
      </c>
      <c r="B37" s="61" t="s">
        <v>5071</v>
      </c>
      <c r="C37" s="61" t="s">
        <v>1636</v>
      </c>
      <c r="D37" s="62" t="s">
        <v>5138</v>
      </c>
      <c r="E37" s="62" t="s">
        <v>5139</v>
      </c>
      <c r="F37" s="63">
        <v>9781466651913</v>
      </c>
      <c r="G37" s="63">
        <v>9781466651906</v>
      </c>
      <c r="H37" s="64" t="s">
        <v>5140</v>
      </c>
      <c r="I37" s="65">
        <v>1</v>
      </c>
      <c r="J37" s="65">
        <v>1</v>
      </c>
      <c r="K37" s="61" t="s">
        <v>5141</v>
      </c>
      <c r="L37" s="61" t="s">
        <v>568</v>
      </c>
      <c r="M37" s="66">
        <v>2014</v>
      </c>
      <c r="N37" s="87" t="str">
        <f>HYPERLINK("http://services.igi-global.com/resolvedoi/resolve.aspx?doi=10.4018/978-1-46665-190-6")</f>
        <v>http://services.igi-global.com/resolvedoi/resolve.aspx?doi=10.4018/978-1-46665-190-6</v>
      </c>
    </row>
    <row r="38" spans="1:14" s="67" customFormat="1" ht="20.100000000000001" customHeight="1">
      <c r="A38" s="60">
        <v>37</v>
      </c>
      <c r="B38" s="61" t="s">
        <v>5071</v>
      </c>
      <c r="C38" s="61" t="s">
        <v>1636</v>
      </c>
      <c r="D38" s="62" t="s">
        <v>25</v>
      </c>
      <c r="E38" s="62" t="s">
        <v>5159</v>
      </c>
      <c r="F38" s="63">
        <v>9781466662339</v>
      </c>
      <c r="G38" s="63">
        <v>9781466662322</v>
      </c>
      <c r="H38" s="64" t="s">
        <v>5160</v>
      </c>
      <c r="I38" s="65">
        <v>1</v>
      </c>
      <c r="J38" s="65">
        <v>1</v>
      </c>
      <c r="K38" s="61" t="s">
        <v>5161</v>
      </c>
      <c r="L38" s="61" t="s">
        <v>568</v>
      </c>
      <c r="M38" s="66">
        <v>2014</v>
      </c>
      <c r="N38" s="87" t="str">
        <f>HYPERLINK("http://services.igi-global.com/resolvedoi/resolve.aspx?doi=10.4018/978-1-46666-232-2")</f>
        <v>http://services.igi-global.com/resolvedoi/resolve.aspx?doi=10.4018/978-1-46666-232-2</v>
      </c>
    </row>
    <row r="39" spans="1:14" s="67" customFormat="1" ht="20.100000000000001" customHeight="1">
      <c r="A39" s="60">
        <v>38</v>
      </c>
      <c r="B39" s="61" t="s">
        <v>5071</v>
      </c>
      <c r="C39" s="61" t="s">
        <v>1636</v>
      </c>
      <c r="D39" s="62" t="s">
        <v>3451</v>
      </c>
      <c r="E39" s="62" t="s">
        <v>5072</v>
      </c>
      <c r="F39" s="63">
        <v>9781466625280</v>
      </c>
      <c r="G39" s="63">
        <v>9781466625273</v>
      </c>
      <c r="H39" s="64" t="s">
        <v>5073</v>
      </c>
      <c r="I39" s="65">
        <v>1</v>
      </c>
      <c r="J39" s="65">
        <v>1</v>
      </c>
      <c r="K39" s="61" t="s">
        <v>5074</v>
      </c>
      <c r="L39" s="61" t="s">
        <v>568</v>
      </c>
      <c r="M39" s="66">
        <v>2013</v>
      </c>
      <c r="N39" s="87" t="str">
        <f>HYPERLINK("http://services.igi-global.com/resolvedoi/resolve.aspx?doi=10.4018/978-1-46662-527-3")</f>
        <v>http://services.igi-global.com/resolvedoi/resolve.aspx?doi=10.4018/978-1-46662-527-3</v>
      </c>
    </row>
    <row r="40" spans="1:14" s="67" customFormat="1" ht="20.100000000000001" customHeight="1">
      <c r="A40" s="60">
        <v>39</v>
      </c>
      <c r="B40" s="61" t="s">
        <v>5071</v>
      </c>
      <c r="C40" s="61" t="s">
        <v>1636</v>
      </c>
      <c r="D40" s="62" t="s">
        <v>5075</v>
      </c>
      <c r="E40" s="62" t="s">
        <v>5076</v>
      </c>
      <c r="F40" s="63">
        <v>9781466626959</v>
      </c>
      <c r="G40" s="63">
        <v>9781466626645</v>
      </c>
      <c r="H40" s="64" t="s">
        <v>5077</v>
      </c>
      <c r="I40" s="65">
        <v>1</v>
      </c>
      <c r="J40" s="65">
        <v>1</v>
      </c>
      <c r="K40" s="61" t="s">
        <v>5078</v>
      </c>
      <c r="L40" s="61" t="s">
        <v>569</v>
      </c>
      <c r="M40" s="66">
        <v>2013</v>
      </c>
      <c r="N40" s="87" t="str">
        <f>HYPERLINK("http://services.igi-global.com/resolvedoi/resolve.aspx?doi=10.4018/978-1-46662-664-5")</f>
        <v>http://services.igi-global.com/resolvedoi/resolve.aspx?doi=10.4018/978-1-46662-664-5</v>
      </c>
    </row>
    <row r="41" spans="1:14" s="67" customFormat="1" ht="20.100000000000001" customHeight="1">
      <c r="A41" s="60">
        <v>40</v>
      </c>
      <c r="B41" s="61" t="s">
        <v>5071</v>
      </c>
      <c r="C41" s="61" t="s">
        <v>1636</v>
      </c>
      <c r="D41" s="62" t="s">
        <v>4078</v>
      </c>
      <c r="E41" s="62" t="s">
        <v>5087</v>
      </c>
      <c r="F41" s="63">
        <v>9781466641785</v>
      </c>
      <c r="G41" s="63">
        <v>9781466641778</v>
      </c>
      <c r="H41" s="64" t="s">
        <v>5088</v>
      </c>
      <c r="I41" s="65">
        <v>1</v>
      </c>
      <c r="J41" s="65">
        <v>1</v>
      </c>
      <c r="K41" s="61" t="s">
        <v>5089</v>
      </c>
      <c r="L41" s="61" t="s">
        <v>568</v>
      </c>
      <c r="M41" s="66">
        <v>2013</v>
      </c>
      <c r="N41" s="87" t="str">
        <f>HYPERLINK("http://services.igi-global.com/resolvedoi/resolve.aspx?doi=10.4018/978-1-46664-177-8")</f>
        <v>http://services.igi-global.com/resolvedoi/resolve.aspx?doi=10.4018/978-1-46664-177-8</v>
      </c>
    </row>
    <row r="42" spans="1:14" s="67" customFormat="1" ht="20.100000000000001" customHeight="1">
      <c r="A42" s="60">
        <v>41</v>
      </c>
      <c r="B42" s="61" t="s">
        <v>5071</v>
      </c>
      <c r="C42" s="61" t="s">
        <v>1628</v>
      </c>
      <c r="D42" s="62" t="s">
        <v>5156</v>
      </c>
      <c r="E42" s="62" t="s">
        <v>5157</v>
      </c>
      <c r="F42" s="63">
        <v>9781466661837</v>
      </c>
      <c r="G42" s="63">
        <v>9781466661820</v>
      </c>
      <c r="H42" s="64" t="s">
        <v>5158</v>
      </c>
      <c r="I42" s="65">
        <v>1</v>
      </c>
      <c r="J42" s="65">
        <v>1</v>
      </c>
      <c r="K42" s="61" t="s">
        <v>578</v>
      </c>
      <c r="L42" s="61" t="s">
        <v>568</v>
      </c>
      <c r="M42" s="66">
        <v>2014</v>
      </c>
      <c r="N42" s="87" t="str">
        <f>HYPERLINK("http://services.igi-global.com/resolvedoi/resolve.aspx?doi=10.4018/978-1-46666-182-0")</f>
        <v>http://services.igi-global.com/resolvedoi/resolve.aspx?doi=10.4018/978-1-46666-182-0</v>
      </c>
    </row>
    <row r="43" spans="1:14" s="67" customFormat="1" ht="20.100000000000001" customHeight="1">
      <c r="A43" s="60">
        <v>42</v>
      </c>
      <c r="B43" s="61" t="s">
        <v>5071</v>
      </c>
      <c r="C43" s="61" t="s">
        <v>1643</v>
      </c>
      <c r="D43" s="62" t="s">
        <v>498</v>
      </c>
      <c r="E43" s="62" t="s">
        <v>5164</v>
      </c>
      <c r="F43" s="63">
        <v>9781466662773</v>
      </c>
      <c r="G43" s="63">
        <v>9781466662766</v>
      </c>
      <c r="H43" s="64" t="s">
        <v>5165</v>
      </c>
      <c r="I43" s="65">
        <v>1</v>
      </c>
      <c r="J43" s="65">
        <v>1</v>
      </c>
      <c r="K43" s="61" t="s">
        <v>5166</v>
      </c>
      <c r="L43" s="61" t="s">
        <v>569</v>
      </c>
      <c r="M43" s="66">
        <v>2015</v>
      </c>
      <c r="N43" s="87" t="str">
        <f>HYPERLINK("http://services.igi-global.com/resolvedoi/resolve.aspx?doi=10.4018/978-1-46666-276-6")</f>
        <v>http://services.igi-global.com/resolvedoi/resolve.aspx?doi=10.4018/978-1-46666-276-6</v>
      </c>
    </row>
    <row r="44" spans="1:14" s="67" customFormat="1" ht="20.100000000000001" customHeight="1">
      <c r="A44" s="60">
        <v>43</v>
      </c>
      <c r="B44" s="61" t="s">
        <v>5071</v>
      </c>
      <c r="C44" s="61" t="s">
        <v>1643</v>
      </c>
      <c r="D44" s="62" t="s">
        <v>5167</v>
      </c>
      <c r="E44" s="62" t="s">
        <v>5168</v>
      </c>
      <c r="F44" s="63">
        <v>9781466662810</v>
      </c>
      <c r="G44" s="63">
        <v>9781466662803</v>
      </c>
      <c r="H44" s="64" t="s">
        <v>5169</v>
      </c>
      <c r="I44" s="65">
        <v>1</v>
      </c>
      <c r="J44" s="65">
        <v>1</v>
      </c>
      <c r="K44" s="61" t="s">
        <v>2218</v>
      </c>
      <c r="L44" s="61" t="s">
        <v>569</v>
      </c>
      <c r="M44" s="66">
        <v>2015</v>
      </c>
      <c r="N44" s="87" t="str">
        <f>HYPERLINK("http://services.igi-global.com/resolvedoi/resolve.aspx?doi=10.4018/978-1-46666-280-3")</f>
        <v>http://services.igi-global.com/resolvedoi/resolve.aspx?doi=10.4018/978-1-46666-280-3</v>
      </c>
    </row>
    <row r="45" spans="1:14" s="67" customFormat="1" ht="20.100000000000001" customHeight="1">
      <c r="A45" s="60">
        <v>44</v>
      </c>
      <c r="B45" s="61" t="s">
        <v>5071</v>
      </c>
      <c r="C45" s="61" t="s">
        <v>1643</v>
      </c>
      <c r="D45" s="62" t="s">
        <v>5170</v>
      </c>
      <c r="E45" s="62" t="s">
        <v>5171</v>
      </c>
      <c r="F45" s="63">
        <v>9781466662858</v>
      </c>
      <c r="G45" s="63">
        <v>9781466662841</v>
      </c>
      <c r="H45" s="64" t="s">
        <v>5172</v>
      </c>
      <c r="I45" s="65">
        <v>1</v>
      </c>
      <c r="J45" s="65">
        <v>1</v>
      </c>
      <c r="K45" s="61" t="s">
        <v>2218</v>
      </c>
      <c r="L45" s="61" t="s">
        <v>569</v>
      </c>
      <c r="M45" s="66">
        <v>2015</v>
      </c>
      <c r="N45" s="87" t="str">
        <f>HYPERLINK("http://services.igi-global.com/resolvedoi/resolve.aspx?doi=10.4018/978-1-46666-284-1")</f>
        <v>http://services.igi-global.com/resolvedoi/resolve.aspx?doi=10.4018/978-1-46666-284-1</v>
      </c>
    </row>
    <row r="46" spans="1:14" s="67" customFormat="1" ht="20.100000000000001" customHeight="1">
      <c r="A46" s="60">
        <v>45</v>
      </c>
      <c r="B46" s="61" t="s">
        <v>5071</v>
      </c>
      <c r="C46" s="61" t="s">
        <v>1643</v>
      </c>
      <c r="D46" s="62" t="s">
        <v>5179</v>
      </c>
      <c r="E46" s="62" t="s">
        <v>5180</v>
      </c>
      <c r="F46" s="63">
        <v>9781466663138</v>
      </c>
      <c r="G46" s="63">
        <v>9781466663121</v>
      </c>
      <c r="H46" s="64" t="s">
        <v>5181</v>
      </c>
      <c r="I46" s="65">
        <v>1</v>
      </c>
      <c r="J46" s="65">
        <v>1</v>
      </c>
      <c r="K46" s="61" t="s">
        <v>5182</v>
      </c>
      <c r="L46" s="61" t="s">
        <v>569</v>
      </c>
      <c r="M46" s="66">
        <v>2015</v>
      </c>
      <c r="N46" s="87" t="str">
        <f>HYPERLINK("http://services.igi-global.com/resolvedoi/resolve.aspx?doi=10.4018/978-1-46666-312-1")</f>
        <v>http://services.igi-global.com/resolvedoi/resolve.aspx?doi=10.4018/978-1-46666-312-1</v>
      </c>
    </row>
    <row r="47" spans="1:14" s="67" customFormat="1" ht="20.100000000000001" customHeight="1">
      <c r="A47" s="60">
        <v>46</v>
      </c>
      <c r="B47" s="61" t="s">
        <v>5071</v>
      </c>
      <c r="C47" s="61" t="s">
        <v>1643</v>
      </c>
      <c r="D47" s="62" t="s">
        <v>496</v>
      </c>
      <c r="E47" s="62" t="s">
        <v>5183</v>
      </c>
      <c r="F47" s="63">
        <v>9781466663442</v>
      </c>
      <c r="G47" s="63">
        <v>9781466663435</v>
      </c>
      <c r="H47" s="64" t="s">
        <v>5184</v>
      </c>
      <c r="I47" s="65">
        <v>1</v>
      </c>
      <c r="J47" s="65">
        <v>1</v>
      </c>
      <c r="K47" s="61" t="s">
        <v>2218</v>
      </c>
      <c r="L47" s="61" t="s">
        <v>569</v>
      </c>
      <c r="M47" s="66">
        <v>2015</v>
      </c>
      <c r="N47" s="87" t="str">
        <f>HYPERLINK("http://services.igi-global.com/resolvedoi/resolve.aspx?doi=10.4018/978-1-46666-343-5")</f>
        <v>http://services.igi-global.com/resolvedoi/resolve.aspx?doi=10.4018/978-1-46666-343-5</v>
      </c>
    </row>
    <row r="48" spans="1:14" s="67" customFormat="1" ht="20.100000000000001" customHeight="1">
      <c r="A48" s="60">
        <v>47</v>
      </c>
      <c r="B48" s="61" t="s">
        <v>5071</v>
      </c>
      <c r="C48" s="61" t="s">
        <v>1643</v>
      </c>
      <c r="D48" s="62" t="s">
        <v>3043</v>
      </c>
      <c r="E48" s="62" t="s">
        <v>5185</v>
      </c>
      <c r="F48" s="63">
        <v>9781466663688</v>
      </c>
      <c r="G48" s="63">
        <v>9781466663671</v>
      </c>
      <c r="H48" s="64" t="s">
        <v>5186</v>
      </c>
      <c r="I48" s="65">
        <v>1</v>
      </c>
      <c r="J48" s="65">
        <v>1</v>
      </c>
      <c r="K48" s="61" t="s">
        <v>2912</v>
      </c>
      <c r="L48" s="61" t="s">
        <v>569</v>
      </c>
      <c r="M48" s="66">
        <v>2015</v>
      </c>
      <c r="N48" s="87" t="str">
        <f>HYPERLINK("http://services.igi-global.com/resolvedoi/resolve.aspx?doi=10.4018/978-1-46666-367-1")</f>
        <v>http://services.igi-global.com/resolvedoi/resolve.aspx?doi=10.4018/978-1-46666-367-1</v>
      </c>
    </row>
    <row r="49" spans="1:14" s="67" customFormat="1" ht="20.100000000000001" customHeight="1">
      <c r="A49" s="60">
        <v>48</v>
      </c>
      <c r="B49" s="61" t="s">
        <v>5071</v>
      </c>
      <c r="C49" s="61" t="s">
        <v>1643</v>
      </c>
      <c r="D49" s="62" t="s">
        <v>5195</v>
      </c>
      <c r="E49" s="62" t="s">
        <v>5196</v>
      </c>
      <c r="F49" s="63">
        <v>9781466664623</v>
      </c>
      <c r="G49" s="63">
        <v>9781466664616</v>
      </c>
      <c r="H49" s="64" t="s">
        <v>5197</v>
      </c>
      <c r="I49" s="65">
        <v>1</v>
      </c>
      <c r="J49" s="65">
        <v>1</v>
      </c>
      <c r="K49" s="61" t="s">
        <v>5198</v>
      </c>
      <c r="L49" s="61" t="s">
        <v>569</v>
      </c>
      <c r="M49" s="66">
        <v>2015</v>
      </c>
      <c r="N49" s="87" t="str">
        <f>HYPERLINK("http://services.igi-global.com/resolvedoi/resolve.aspx?doi=10.4018/978-1-46666-461-6")</f>
        <v>http://services.igi-global.com/resolvedoi/resolve.aspx?doi=10.4018/978-1-46666-461-6</v>
      </c>
    </row>
    <row r="50" spans="1:14" s="67" customFormat="1" ht="20.100000000000001" customHeight="1">
      <c r="A50" s="60">
        <v>49</v>
      </c>
      <c r="B50" s="61" t="s">
        <v>5071</v>
      </c>
      <c r="C50" s="61" t="s">
        <v>1643</v>
      </c>
      <c r="D50" s="62" t="s">
        <v>5211</v>
      </c>
      <c r="E50" s="62" t="s">
        <v>5212</v>
      </c>
      <c r="F50" s="63">
        <v>9781466664982</v>
      </c>
      <c r="G50" s="63">
        <v>9781466664975</v>
      </c>
      <c r="H50" s="64" t="s">
        <v>5213</v>
      </c>
      <c r="I50" s="65">
        <v>1</v>
      </c>
      <c r="J50" s="65">
        <v>1</v>
      </c>
      <c r="K50" s="61" t="s">
        <v>2912</v>
      </c>
      <c r="L50" s="61" t="s">
        <v>569</v>
      </c>
      <c r="M50" s="66">
        <v>2015</v>
      </c>
      <c r="N50" s="87" t="str">
        <f>HYPERLINK("http://services.igi-global.com/resolvedoi/resolve.aspx?doi=10.4018/978-1-46666-497-5")</f>
        <v>http://services.igi-global.com/resolvedoi/resolve.aspx?doi=10.4018/978-1-46666-497-5</v>
      </c>
    </row>
    <row r="51" spans="1:14" s="67" customFormat="1" ht="20.100000000000001" customHeight="1">
      <c r="A51" s="60">
        <v>50</v>
      </c>
      <c r="B51" s="61" t="s">
        <v>5071</v>
      </c>
      <c r="C51" s="61" t="s">
        <v>1643</v>
      </c>
      <c r="D51" s="62" t="s">
        <v>5232</v>
      </c>
      <c r="E51" s="62" t="s">
        <v>5233</v>
      </c>
      <c r="F51" s="63">
        <v>9781466666160</v>
      </c>
      <c r="G51" s="63">
        <v>9781466666153</v>
      </c>
      <c r="H51" s="64" t="s">
        <v>5234</v>
      </c>
      <c r="I51" s="65">
        <v>1</v>
      </c>
      <c r="J51" s="65">
        <v>1</v>
      </c>
      <c r="K51" s="61" t="s">
        <v>5235</v>
      </c>
      <c r="L51" s="61" t="s">
        <v>569</v>
      </c>
      <c r="M51" s="66">
        <v>2015</v>
      </c>
      <c r="N51" s="87" t="str">
        <f>HYPERLINK("http://services.igi-global.com/resolvedoi/resolve.aspx?doi=10.4018/978-1-46666-615-3")</f>
        <v>http://services.igi-global.com/resolvedoi/resolve.aspx?doi=10.4018/978-1-46666-615-3</v>
      </c>
    </row>
    <row r="52" spans="1:14" s="67" customFormat="1" ht="20.100000000000001" customHeight="1">
      <c r="A52" s="60">
        <v>51</v>
      </c>
      <c r="B52" s="61" t="s">
        <v>5071</v>
      </c>
      <c r="C52" s="61" t="s">
        <v>1643</v>
      </c>
      <c r="D52" s="62" t="s">
        <v>5236</v>
      </c>
      <c r="E52" s="62" t="s">
        <v>5237</v>
      </c>
      <c r="F52" s="63">
        <v>9781466666207</v>
      </c>
      <c r="G52" s="63">
        <v>9781466666191</v>
      </c>
      <c r="H52" s="64" t="s">
        <v>5238</v>
      </c>
      <c r="I52" s="65">
        <v>1</v>
      </c>
      <c r="J52" s="65">
        <v>1</v>
      </c>
      <c r="K52" s="61" t="s">
        <v>5239</v>
      </c>
      <c r="L52" s="61" t="s">
        <v>569</v>
      </c>
      <c r="M52" s="66">
        <v>2015</v>
      </c>
      <c r="N52" s="87" t="str">
        <f>HYPERLINK("http://services.igi-global.com/resolvedoi/resolve.aspx?doi=10.4018/978-1-46666-619-1")</f>
        <v>http://services.igi-global.com/resolvedoi/resolve.aspx?doi=10.4018/978-1-46666-619-1</v>
      </c>
    </row>
    <row r="53" spans="1:14" s="67" customFormat="1" ht="20.100000000000001" customHeight="1">
      <c r="A53" s="60">
        <v>52</v>
      </c>
      <c r="B53" s="61" t="s">
        <v>5071</v>
      </c>
      <c r="C53" s="61" t="s">
        <v>1643</v>
      </c>
      <c r="D53" s="62" t="s">
        <v>5243</v>
      </c>
      <c r="E53" s="62" t="s">
        <v>5244</v>
      </c>
      <c r="F53" s="63">
        <v>9781466672451</v>
      </c>
      <c r="G53" s="63">
        <v>9781466672444</v>
      </c>
      <c r="H53" s="64" t="s">
        <v>5245</v>
      </c>
      <c r="I53" s="65">
        <v>1</v>
      </c>
      <c r="J53" s="65">
        <v>1</v>
      </c>
      <c r="K53" s="61" t="s">
        <v>5246</v>
      </c>
      <c r="L53" s="61" t="s">
        <v>569</v>
      </c>
      <c r="M53" s="66">
        <v>2015</v>
      </c>
      <c r="N53" s="87" t="str">
        <f>HYPERLINK("http://services.igi-global.com/resolvedoi/resolve.aspx?doi=10.4018/978-1-46667-244-4")</f>
        <v>http://services.igi-global.com/resolvedoi/resolve.aspx?doi=10.4018/978-1-46667-244-4</v>
      </c>
    </row>
    <row r="54" spans="1:14" s="67" customFormat="1" ht="20.100000000000001" customHeight="1">
      <c r="A54" s="60">
        <v>53</v>
      </c>
      <c r="B54" s="61" t="s">
        <v>5071</v>
      </c>
      <c r="C54" s="61" t="s">
        <v>1643</v>
      </c>
      <c r="D54" s="62" t="s">
        <v>497</v>
      </c>
      <c r="E54" s="62" t="s">
        <v>5259</v>
      </c>
      <c r="F54" s="63">
        <v>9781466673175</v>
      </c>
      <c r="G54" s="63">
        <v>9781466673168</v>
      </c>
      <c r="H54" s="64" t="s">
        <v>5260</v>
      </c>
      <c r="I54" s="65">
        <v>1</v>
      </c>
      <c r="J54" s="65">
        <v>1</v>
      </c>
      <c r="K54" s="61" t="s">
        <v>943</v>
      </c>
      <c r="L54" s="61" t="s">
        <v>569</v>
      </c>
      <c r="M54" s="66">
        <v>2015</v>
      </c>
      <c r="N54" s="87" t="str">
        <f>HYPERLINK("http://services.igi-global.com/resolvedoi/resolve.aspx?doi=10.4018/978-1-46667-316-8")</f>
        <v>http://services.igi-global.com/resolvedoi/resolve.aspx?doi=10.4018/978-1-46667-316-8</v>
      </c>
    </row>
    <row r="55" spans="1:14" s="67" customFormat="1" ht="20.100000000000001" customHeight="1">
      <c r="A55" s="60">
        <v>54</v>
      </c>
      <c r="B55" s="61" t="s">
        <v>5071</v>
      </c>
      <c r="C55" s="61" t="s">
        <v>1643</v>
      </c>
      <c r="D55" s="62" t="s">
        <v>5264</v>
      </c>
      <c r="E55" s="62" t="s">
        <v>5265</v>
      </c>
      <c r="F55" s="63">
        <v>9781466673649</v>
      </c>
      <c r="G55" s="63">
        <v>9781466673632</v>
      </c>
      <c r="H55" s="64" t="s">
        <v>5266</v>
      </c>
      <c r="I55" s="65">
        <v>3</v>
      </c>
      <c r="J55" s="65">
        <v>1</v>
      </c>
      <c r="K55" s="61" t="s">
        <v>1424</v>
      </c>
      <c r="L55" s="61" t="s">
        <v>569</v>
      </c>
      <c r="M55" s="66">
        <v>2015</v>
      </c>
      <c r="N55" s="87" t="str">
        <f>HYPERLINK("http://services.igi-global.com/resolvedoi/resolve.aspx?doi=10.4018/978-1-46667-363-2")</f>
        <v>http://services.igi-global.com/resolvedoi/resolve.aspx?doi=10.4018/978-1-46667-363-2</v>
      </c>
    </row>
    <row r="56" spans="1:14" s="67" customFormat="1" ht="20.100000000000001" customHeight="1">
      <c r="A56" s="60">
        <v>55</v>
      </c>
      <c r="B56" s="61" t="s">
        <v>5071</v>
      </c>
      <c r="C56" s="61" t="s">
        <v>1643</v>
      </c>
      <c r="D56" s="62" t="s">
        <v>4236</v>
      </c>
      <c r="E56" s="62" t="s">
        <v>5273</v>
      </c>
      <c r="F56" s="63">
        <v>9781466673984</v>
      </c>
      <c r="G56" s="63">
        <v>9781466673977</v>
      </c>
      <c r="H56" s="64" t="s">
        <v>5274</v>
      </c>
      <c r="I56" s="65">
        <v>1</v>
      </c>
      <c r="J56" s="65">
        <v>1</v>
      </c>
      <c r="K56" s="61" t="s">
        <v>5275</v>
      </c>
      <c r="L56" s="61" t="s">
        <v>569</v>
      </c>
      <c r="M56" s="66">
        <v>2015</v>
      </c>
      <c r="N56" s="87" t="str">
        <f>HYPERLINK("http://services.igi-global.com/resolvedoi/resolve.aspx?doi=10.4018/978-1-46667-397-7")</f>
        <v>http://services.igi-global.com/resolvedoi/resolve.aspx?doi=10.4018/978-1-46667-397-7</v>
      </c>
    </row>
    <row r="57" spans="1:14" s="67" customFormat="1" ht="20.100000000000001" customHeight="1">
      <c r="A57" s="60">
        <v>56</v>
      </c>
      <c r="B57" s="61" t="s">
        <v>5071</v>
      </c>
      <c r="C57" s="61" t="s">
        <v>1643</v>
      </c>
      <c r="D57" s="62" t="s">
        <v>228</v>
      </c>
      <c r="E57" s="62" t="s">
        <v>5284</v>
      </c>
      <c r="F57" s="63">
        <v>9781466674653</v>
      </c>
      <c r="G57" s="63">
        <v>9781466674646</v>
      </c>
      <c r="H57" s="64" t="s">
        <v>5285</v>
      </c>
      <c r="I57" s="65">
        <v>1</v>
      </c>
      <c r="J57" s="65">
        <v>1</v>
      </c>
      <c r="K57" s="61" t="s">
        <v>5286</v>
      </c>
      <c r="L57" s="61" t="s">
        <v>569</v>
      </c>
      <c r="M57" s="66">
        <v>2015</v>
      </c>
      <c r="N57" s="87" t="str">
        <f>HYPERLINK("http://services.igi-global.com/resolvedoi/resolve.aspx?doi=10.4018/978-1-46667-464-6")</f>
        <v>http://services.igi-global.com/resolvedoi/resolve.aspx?doi=10.4018/978-1-46667-464-6</v>
      </c>
    </row>
    <row r="58" spans="1:14" s="67" customFormat="1" ht="20.100000000000001" customHeight="1">
      <c r="A58" s="60">
        <v>57</v>
      </c>
      <c r="B58" s="61" t="s">
        <v>5071</v>
      </c>
      <c r="C58" s="61" t="s">
        <v>1643</v>
      </c>
      <c r="D58" s="62" t="s">
        <v>5297</v>
      </c>
      <c r="E58" s="62" t="s">
        <v>5298</v>
      </c>
      <c r="F58" s="63">
        <v>9781466674967</v>
      </c>
      <c r="G58" s="63">
        <v>9781466674950</v>
      </c>
      <c r="H58" s="64" t="s">
        <v>5299</v>
      </c>
      <c r="I58" s="65">
        <v>1</v>
      </c>
      <c r="J58" s="65">
        <v>1</v>
      </c>
      <c r="K58" s="61" t="s">
        <v>5300</v>
      </c>
      <c r="L58" s="61" t="s">
        <v>569</v>
      </c>
      <c r="M58" s="66">
        <v>2015</v>
      </c>
      <c r="N58" s="87" t="str">
        <f>HYPERLINK("http://services.igi-global.com/resolvedoi/resolve.aspx?doi=10.4018/978-1-46667-495-0")</f>
        <v>http://services.igi-global.com/resolvedoi/resolve.aspx?doi=10.4018/978-1-46667-495-0</v>
      </c>
    </row>
    <row r="59" spans="1:14" s="67" customFormat="1" ht="20.100000000000001" customHeight="1">
      <c r="A59" s="60">
        <v>58</v>
      </c>
      <c r="B59" s="61" t="s">
        <v>5071</v>
      </c>
      <c r="C59" s="61" t="s">
        <v>1643</v>
      </c>
      <c r="D59" s="62" t="s">
        <v>5308</v>
      </c>
      <c r="E59" s="62" t="s">
        <v>5309</v>
      </c>
      <c r="F59" s="63">
        <v>9781466681200</v>
      </c>
      <c r="G59" s="63">
        <v>9781466681194</v>
      </c>
      <c r="H59" s="64" t="s">
        <v>5310</v>
      </c>
      <c r="I59" s="65">
        <v>1</v>
      </c>
      <c r="J59" s="65">
        <v>1</v>
      </c>
      <c r="K59" s="61" t="s">
        <v>3123</v>
      </c>
      <c r="L59" s="61" t="s">
        <v>569</v>
      </c>
      <c r="M59" s="66">
        <v>2015</v>
      </c>
      <c r="N59" s="87" t="str">
        <f>HYPERLINK("http://services.igi-global.com/resolvedoi/resolve.aspx?doi=10.4018/978-1-46668-119-4")</f>
        <v>http://services.igi-global.com/resolvedoi/resolve.aspx?doi=10.4018/978-1-46668-119-4</v>
      </c>
    </row>
    <row r="60" spans="1:14" s="67" customFormat="1" ht="20.100000000000001" customHeight="1">
      <c r="A60" s="60">
        <v>59</v>
      </c>
      <c r="B60" s="61" t="s">
        <v>5071</v>
      </c>
      <c r="C60" s="61" t="s">
        <v>1643</v>
      </c>
      <c r="D60" s="62" t="s">
        <v>5297</v>
      </c>
      <c r="E60" s="62" t="s">
        <v>5316</v>
      </c>
      <c r="F60" s="63">
        <v>9781466681439</v>
      </c>
      <c r="G60" s="63">
        <v>9781466681422</v>
      </c>
      <c r="H60" s="64" t="s">
        <v>5317</v>
      </c>
      <c r="I60" s="65">
        <v>1</v>
      </c>
      <c r="J60" s="65">
        <v>1</v>
      </c>
      <c r="K60" s="61" t="s">
        <v>1617</v>
      </c>
      <c r="L60" s="61" t="s">
        <v>569</v>
      </c>
      <c r="M60" s="66">
        <v>2015</v>
      </c>
      <c r="N60" s="87" t="str">
        <f>HYPERLINK("http://services.igi-global.com/resolvedoi/resolve.aspx?doi=10.4018/978-1-46668-142-2")</f>
        <v>http://services.igi-global.com/resolvedoi/resolve.aspx?doi=10.4018/978-1-46668-142-2</v>
      </c>
    </row>
    <row r="61" spans="1:14" s="67" customFormat="1" ht="20.100000000000001" customHeight="1">
      <c r="A61" s="60">
        <v>60</v>
      </c>
      <c r="B61" s="61" t="s">
        <v>5071</v>
      </c>
      <c r="C61" s="61" t="s">
        <v>1643</v>
      </c>
      <c r="D61" s="62" t="s">
        <v>5338</v>
      </c>
      <c r="E61" s="62" t="s">
        <v>5339</v>
      </c>
      <c r="F61" s="63">
        <v>9781466682665</v>
      </c>
      <c r="G61" s="63">
        <v>9781466682658</v>
      </c>
      <c r="H61" s="64" t="s">
        <v>5340</v>
      </c>
      <c r="I61" s="65">
        <v>1</v>
      </c>
      <c r="J61" s="65">
        <v>1</v>
      </c>
      <c r="K61" s="61" t="s">
        <v>5341</v>
      </c>
      <c r="L61" s="61" t="s">
        <v>569</v>
      </c>
      <c r="M61" s="66">
        <v>2015</v>
      </c>
      <c r="N61" s="87" t="str">
        <f>HYPERLINK("http://services.igi-global.com/resolvedoi/resolve.aspx?doi=10.4018/978-1-46668-265-8")</f>
        <v>http://services.igi-global.com/resolvedoi/resolve.aspx?doi=10.4018/978-1-46668-265-8</v>
      </c>
    </row>
    <row r="62" spans="1:14" s="67" customFormat="1" ht="20.100000000000001" customHeight="1">
      <c r="A62" s="60">
        <v>61</v>
      </c>
      <c r="B62" s="61" t="s">
        <v>5071</v>
      </c>
      <c r="C62" s="61" t="s">
        <v>1643</v>
      </c>
      <c r="D62" s="62" t="s">
        <v>5346</v>
      </c>
      <c r="E62" s="62" t="s">
        <v>5347</v>
      </c>
      <c r="F62" s="63">
        <v>9781466682801</v>
      </c>
      <c r="G62" s="63">
        <v>9781466682795</v>
      </c>
      <c r="H62" s="64" t="s">
        <v>5348</v>
      </c>
      <c r="I62" s="65">
        <v>1</v>
      </c>
      <c r="J62" s="65">
        <v>1</v>
      </c>
      <c r="K62" s="61" t="s">
        <v>2052</v>
      </c>
      <c r="L62" s="61" t="s">
        <v>569</v>
      </c>
      <c r="M62" s="66">
        <v>2015</v>
      </c>
      <c r="N62" s="87" t="str">
        <f>HYPERLINK("http://services.igi-global.com/resolvedoi/resolve.aspx?doi=10.4018/978-1-46668-279-5")</f>
        <v>http://services.igi-global.com/resolvedoi/resolve.aspx?doi=10.4018/978-1-46668-279-5</v>
      </c>
    </row>
    <row r="63" spans="1:14" s="67" customFormat="1" ht="20.100000000000001" customHeight="1">
      <c r="A63" s="60">
        <v>62</v>
      </c>
      <c r="B63" s="61" t="s">
        <v>5071</v>
      </c>
      <c r="C63" s="61" t="s">
        <v>1643</v>
      </c>
      <c r="D63" s="62" t="s">
        <v>5354</v>
      </c>
      <c r="E63" s="62" t="s">
        <v>5355</v>
      </c>
      <c r="F63" s="63">
        <v>9781466683228</v>
      </c>
      <c r="G63" s="63">
        <v>9781466683211</v>
      </c>
      <c r="H63" s="64" t="s">
        <v>5356</v>
      </c>
      <c r="I63" s="65">
        <v>1</v>
      </c>
      <c r="J63" s="65">
        <v>1</v>
      </c>
      <c r="K63" s="61" t="s">
        <v>5357</v>
      </c>
      <c r="L63" s="61" t="s">
        <v>569</v>
      </c>
      <c r="M63" s="66">
        <v>2015</v>
      </c>
      <c r="N63" s="87" t="str">
        <f>HYPERLINK("http://services.igi-global.com/resolvedoi/resolve.aspx?doi=10.4018/978-1-46668-321-1")</f>
        <v>http://services.igi-global.com/resolvedoi/resolve.aspx?doi=10.4018/978-1-46668-321-1</v>
      </c>
    </row>
    <row r="64" spans="1:14" s="67" customFormat="1" ht="20.100000000000001" customHeight="1">
      <c r="A64" s="60">
        <v>63</v>
      </c>
      <c r="B64" s="61" t="s">
        <v>5071</v>
      </c>
      <c r="C64" s="61" t="s">
        <v>1643</v>
      </c>
      <c r="D64" s="62" t="s">
        <v>5308</v>
      </c>
      <c r="E64" s="62" t="s">
        <v>5358</v>
      </c>
      <c r="F64" s="63">
        <v>9781466683259</v>
      </c>
      <c r="G64" s="63">
        <v>9781466683242</v>
      </c>
      <c r="H64" s="64" t="s">
        <v>5359</v>
      </c>
      <c r="I64" s="65">
        <v>1</v>
      </c>
      <c r="J64" s="65">
        <v>1</v>
      </c>
      <c r="K64" s="61" t="s">
        <v>3007</v>
      </c>
      <c r="L64" s="61" t="s">
        <v>569</v>
      </c>
      <c r="M64" s="66">
        <v>2015</v>
      </c>
      <c r="N64" s="87" t="str">
        <f>HYPERLINK("http://services.igi-global.com/resolvedoi/resolve.aspx?doi=10.4018/978-1-46668-324-2")</f>
        <v>http://services.igi-global.com/resolvedoi/resolve.aspx?doi=10.4018/978-1-46668-324-2</v>
      </c>
    </row>
    <row r="65" spans="1:14" s="67" customFormat="1" ht="20.100000000000001" customHeight="1">
      <c r="A65" s="60">
        <v>64</v>
      </c>
      <c r="B65" s="61" t="s">
        <v>5071</v>
      </c>
      <c r="C65" s="61" t="s">
        <v>1643</v>
      </c>
      <c r="D65" s="62" t="s">
        <v>496</v>
      </c>
      <c r="E65" s="62" t="s">
        <v>5380</v>
      </c>
      <c r="F65" s="63">
        <v>9781466683648</v>
      </c>
      <c r="G65" s="63">
        <v>9781466683631</v>
      </c>
      <c r="H65" s="64" t="s">
        <v>5381</v>
      </c>
      <c r="I65" s="65">
        <v>1</v>
      </c>
      <c r="J65" s="65">
        <v>1</v>
      </c>
      <c r="K65" s="61" t="s">
        <v>2218</v>
      </c>
      <c r="L65" s="61" t="s">
        <v>569</v>
      </c>
      <c r="M65" s="66">
        <v>2015</v>
      </c>
      <c r="N65" s="87" t="str">
        <f>HYPERLINK("http://services.igi-global.com/resolvedoi/resolve.aspx?doi=10.4018/978-1-46668-363-1")</f>
        <v>http://services.igi-global.com/resolvedoi/resolve.aspx?doi=10.4018/978-1-46668-363-1</v>
      </c>
    </row>
    <row r="66" spans="1:14" s="67" customFormat="1" ht="20.100000000000001" customHeight="1">
      <c r="A66" s="60">
        <v>65</v>
      </c>
      <c r="B66" s="61" t="s">
        <v>5071</v>
      </c>
      <c r="C66" s="61" t="s">
        <v>1643</v>
      </c>
      <c r="D66" s="62" t="s">
        <v>5386</v>
      </c>
      <c r="E66" s="62" t="s">
        <v>5387</v>
      </c>
      <c r="F66" s="63">
        <v>9781466684041</v>
      </c>
      <c r="G66" s="63">
        <v>9781466684034</v>
      </c>
      <c r="H66" s="64" t="s">
        <v>5388</v>
      </c>
      <c r="I66" s="65">
        <v>1</v>
      </c>
      <c r="J66" s="65">
        <v>1</v>
      </c>
      <c r="K66" s="61" t="s">
        <v>5389</v>
      </c>
      <c r="L66" s="61" t="s">
        <v>569</v>
      </c>
      <c r="M66" s="66">
        <v>2015</v>
      </c>
      <c r="N66" s="87" t="str">
        <f>HYPERLINK("http://services.igi-global.com/resolvedoi/resolve.aspx?doi=10.4018/978-1-46668-403-4")</f>
        <v>http://services.igi-global.com/resolvedoi/resolve.aspx?doi=10.4018/978-1-46668-403-4</v>
      </c>
    </row>
    <row r="67" spans="1:14" s="67" customFormat="1" ht="20.100000000000001" customHeight="1">
      <c r="A67" s="60">
        <v>66</v>
      </c>
      <c r="B67" s="61" t="s">
        <v>5071</v>
      </c>
      <c r="C67" s="61" t="s">
        <v>1643</v>
      </c>
      <c r="D67" s="62" t="s">
        <v>5393</v>
      </c>
      <c r="E67" s="62" t="s">
        <v>5394</v>
      </c>
      <c r="F67" s="63">
        <v>9781466684126</v>
      </c>
      <c r="G67" s="63">
        <v>9781466684119</v>
      </c>
      <c r="H67" s="64" t="s">
        <v>5395</v>
      </c>
      <c r="I67" s="65">
        <v>1</v>
      </c>
      <c r="J67" s="65">
        <v>1</v>
      </c>
      <c r="K67" s="61" t="s">
        <v>5396</v>
      </c>
      <c r="L67" s="61" t="s">
        <v>569</v>
      </c>
      <c r="M67" s="66">
        <v>2015</v>
      </c>
      <c r="N67" s="87" t="str">
        <f>HYPERLINK("http://services.igi-global.com/resolvedoi/resolve.aspx?doi=10.4018/978-1-46668-411-9")</f>
        <v>http://services.igi-global.com/resolvedoi/resolve.aspx?doi=10.4018/978-1-46668-411-9</v>
      </c>
    </row>
    <row r="68" spans="1:14" s="67" customFormat="1" ht="20.100000000000001" customHeight="1">
      <c r="A68" s="60">
        <v>67</v>
      </c>
      <c r="B68" s="61" t="s">
        <v>5071</v>
      </c>
      <c r="C68" s="61" t="s">
        <v>1643</v>
      </c>
      <c r="D68" s="62" t="s">
        <v>5097</v>
      </c>
      <c r="E68" s="62" t="s">
        <v>5098</v>
      </c>
      <c r="F68" s="63">
        <v>9781466644717</v>
      </c>
      <c r="G68" s="63">
        <v>9781466644700</v>
      </c>
      <c r="H68" s="64" t="s">
        <v>5099</v>
      </c>
      <c r="I68" s="65">
        <v>1</v>
      </c>
      <c r="J68" s="65">
        <v>1</v>
      </c>
      <c r="K68" s="61" t="s">
        <v>5100</v>
      </c>
      <c r="L68" s="61" t="s">
        <v>569</v>
      </c>
      <c r="M68" s="66">
        <v>2014</v>
      </c>
      <c r="N68" s="87" t="str">
        <f>HYPERLINK("http://services.igi-global.com/resolvedoi/resolve.aspx?doi=10.4018/978-1-46664-470-0")</f>
        <v>http://services.igi-global.com/resolvedoi/resolve.aspx?doi=10.4018/978-1-46664-470-0</v>
      </c>
    </row>
    <row r="69" spans="1:14" s="67" customFormat="1" ht="20.100000000000001" customHeight="1">
      <c r="A69" s="60">
        <v>68</v>
      </c>
      <c r="B69" s="61" t="s">
        <v>5071</v>
      </c>
      <c r="C69" s="61" t="s">
        <v>1643</v>
      </c>
      <c r="D69" s="62" t="s">
        <v>499</v>
      </c>
      <c r="E69" s="62" t="s">
        <v>5104</v>
      </c>
      <c r="F69" s="63">
        <v>9781466646124</v>
      </c>
      <c r="G69" s="63">
        <v>9781466646117</v>
      </c>
      <c r="H69" s="64" t="s">
        <v>5105</v>
      </c>
      <c r="I69" s="65">
        <v>1</v>
      </c>
      <c r="J69" s="65">
        <v>1</v>
      </c>
      <c r="K69" s="61" t="s">
        <v>577</v>
      </c>
      <c r="L69" s="61" t="s">
        <v>569</v>
      </c>
      <c r="M69" s="66">
        <v>2014</v>
      </c>
      <c r="N69" s="87" t="str">
        <f>HYPERLINK("http://services.igi-global.com/resolvedoi/resolve.aspx?doi=10.4018/978-1-46664-611-7")</f>
        <v>http://services.igi-global.com/resolvedoi/resolve.aspx?doi=10.4018/978-1-46664-611-7</v>
      </c>
    </row>
    <row r="70" spans="1:14" s="67" customFormat="1" ht="20.100000000000001" customHeight="1">
      <c r="A70" s="60">
        <v>69</v>
      </c>
      <c r="B70" s="61" t="s">
        <v>5071</v>
      </c>
      <c r="C70" s="61" t="s">
        <v>1643</v>
      </c>
      <c r="D70" s="62" t="s">
        <v>2827</v>
      </c>
      <c r="E70" s="62" t="s">
        <v>5106</v>
      </c>
      <c r="F70" s="63">
        <v>9781466646162</v>
      </c>
      <c r="G70" s="63">
        <v>9781466646155</v>
      </c>
      <c r="H70" s="64" t="s">
        <v>5107</v>
      </c>
      <c r="I70" s="65">
        <v>1</v>
      </c>
      <c r="J70" s="65">
        <v>1</v>
      </c>
      <c r="K70" s="61" t="s">
        <v>555</v>
      </c>
      <c r="L70" s="61" t="s">
        <v>569</v>
      </c>
      <c r="M70" s="66">
        <v>2014</v>
      </c>
      <c r="N70" s="87" t="str">
        <f>HYPERLINK("http://services.igi-global.com/resolvedoi/resolve.aspx?doi=10.4018/978-1-46664-615-5")</f>
        <v>http://services.igi-global.com/resolvedoi/resolve.aspx?doi=10.4018/978-1-46664-615-5</v>
      </c>
    </row>
    <row r="71" spans="1:14" s="67" customFormat="1" ht="20.100000000000001" customHeight="1">
      <c r="A71" s="60">
        <v>70</v>
      </c>
      <c r="B71" s="61" t="s">
        <v>5071</v>
      </c>
      <c r="C71" s="61" t="s">
        <v>1643</v>
      </c>
      <c r="D71" s="62" t="s">
        <v>1075</v>
      </c>
      <c r="E71" s="62" t="s">
        <v>5119</v>
      </c>
      <c r="F71" s="63">
        <v>9781466648777</v>
      </c>
      <c r="G71" s="63">
        <v>9781466648760</v>
      </c>
      <c r="H71" s="64" t="s">
        <v>5120</v>
      </c>
      <c r="I71" s="65">
        <v>1</v>
      </c>
      <c r="J71" s="65">
        <v>1</v>
      </c>
      <c r="K71" s="61" t="s">
        <v>5121</v>
      </c>
      <c r="L71" s="61" t="s">
        <v>569</v>
      </c>
      <c r="M71" s="66">
        <v>2014</v>
      </c>
      <c r="N71" s="87" t="str">
        <f>HYPERLINK("http://services.igi-global.com/resolvedoi/resolve.aspx?doi=10.4018/978-1-46664-876-0")</f>
        <v>http://services.igi-global.com/resolvedoi/resolve.aspx?doi=10.4018/978-1-46664-876-0</v>
      </c>
    </row>
    <row r="72" spans="1:14" s="67" customFormat="1" ht="20.100000000000001" customHeight="1">
      <c r="A72" s="60">
        <v>71</v>
      </c>
      <c r="B72" s="61" t="s">
        <v>5071</v>
      </c>
      <c r="C72" s="61" t="s">
        <v>1643</v>
      </c>
      <c r="D72" s="62" t="s">
        <v>518</v>
      </c>
      <c r="E72" s="62" t="s">
        <v>5128</v>
      </c>
      <c r="F72" s="63">
        <v>9781466649880</v>
      </c>
      <c r="G72" s="63">
        <v>9781466649873</v>
      </c>
      <c r="H72" s="64" t="s">
        <v>5129</v>
      </c>
      <c r="I72" s="65">
        <v>1</v>
      </c>
      <c r="J72" s="65">
        <v>1</v>
      </c>
      <c r="K72" s="61" t="s">
        <v>2218</v>
      </c>
      <c r="L72" s="61" t="s">
        <v>569</v>
      </c>
      <c r="M72" s="66">
        <v>2014</v>
      </c>
      <c r="N72" s="87" t="str">
        <f>HYPERLINK("http://services.igi-global.com/resolvedoi/resolve.aspx?doi=10.4018/978-1-46664-987-3")</f>
        <v>http://services.igi-global.com/resolvedoi/resolve.aspx?doi=10.4018/978-1-46664-987-3</v>
      </c>
    </row>
    <row r="73" spans="1:14" s="67" customFormat="1" ht="20.100000000000001" customHeight="1">
      <c r="A73" s="60">
        <v>72</v>
      </c>
      <c r="B73" s="61" t="s">
        <v>5071</v>
      </c>
      <c r="C73" s="61" t="s">
        <v>1643</v>
      </c>
      <c r="D73" s="62" t="s">
        <v>517</v>
      </c>
      <c r="E73" s="62" t="s">
        <v>5130</v>
      </c>
      <c r="F73" s="63">
        <v>9781466650244</v>
      </c>
      <c r="G73" s="63">
        <v>9781466650237</v>
      </c>
      <c r="H73" s="64" t="s">
        <v>5131</v>
      </c>
      <c r="I73" s="65">
        <v>1</v>
      </c>
      <c r="J73" s="65">
        <v>1</v>
      </c>
      <c r="K73" s="61" t="s">
        <v>2218</v>
      </c>
      <c r="L73" s="61" t="s">
        <v>569</v>
      </c>
      <c r="M73" s="66">
        <v>2014</v>
      </c>
      <c r="N73" s="87" t="str">
        <f>HYPERLINK("http://services.igi-global.com/resolvedoi/resolve.aspx?doi=10.4018/978-1-46665-023-7")</f>
        <v>http://services.igi-global.com/resolvedoi/resolve.aspx?doi=10.4018/978-1-46665-023-7</v>
      </c>
    </row>
    <row r="74" spans="1:14" s="67" customFormat="1" ht="20.100000000000001" customHeight="1">
      <c r="A74" s="60">
        <v>73</v>
      </c>
      <c r="B74" s="61" t="s">
        <v>5071</v>
      </c>
      <c r="C74" s="61" t="s">
        <v>1643</v>
      </c>
      <c r="D74" s="62" t="s">
        <v>497</v>
      </c>
      <c r="E74" s="62" t="s">
        <v>5135</v>
      </c>
      <c r="F74" s="63">
        <v>9781466651791</v>
      </c>
      <c r="G74" s="63">
        <v>9781466651784</v>
      </c>
      <c r="H74" s="64" t="s">
        <v>5136</v>
      </c>
      <c r="I74" s="65">
        <v>1</v>
      </c>
      <c r="J74" s="65">
        <v>1</v>
      </c>
      <c r="K74" s="61" t="s">
        <v>5137</v>
      </c>
      <c r="L74" s="61" t="s">
        <v>569</v>
      </c>
      <c r="M74" s="66">
        <v>2014</v>
      </c>
      <c r="N74" s="87" t="str">
        <f>HYPERLINK("http://services.igi-global.com/resolvedoi/resolve.aspx?doi=10.4018/978-1-46665-178-4")</f>
        <v>http://services.igi-global.com/resolvedoi/resolve.aspx?doi=10.4018/978-1-46665-178-4</v>
      </c>
    </row>
    <row r="75" spans="1:14" s="67" customFormat="1" ht="20.100000000000001" customHeight="1">
      <c r="A75" s="60">
        <v>74</v>
      </c>
      <c r="B75" s="61" t="s">
        <v>5071</v>
      </c>
      <c r="C75" s="61" t="s">
        <v>1643</v>
      </c>
      <c r="D75" s="62" t="s">
        <v>5146</v>
      </c>
      <c r="E75" s="62" t="s">
        <v>5147</v>
      </c>
      <c r="F75" s="63">
        <v>9781466658578</v>
      </c>
      <c r="G75" s="63">
        <v>9781466658561</v>
      </c>
      <c r="H75" s="64" t="s">
        <v>5148</v>
      </c>
      <c r="I75" s="65">
        <v>1</v>
      </c>
      <c r="J75" s="65">
        <v>1</v>
      </c>
      <c r="K75" s="61" t="s">
        <v>5149</v>
      </c>
      <c r="L75" s="61" t="s">
        <v>569</v>
      </c>
      <c r="M75" s="66">
        <v>2014</v>
      </c>
      <c r="N75" s="87" t="str">
        <f>HYPERLINK("http://services.igi-global.com/resolvedoi/resolve.aspx?doi=10.4018/978-1-46665-856-1")</f>
        <v>http://services.igi-global.com/resolvedoi/resolve.aspx?doi=10.4018/978-1-46665-856-1</v>
      </c>
    </row>
    <row r="76" spans="1:14" s="67" customFormat="1" ht="20.100000000000001" customHeight="1">
      <c r="A76" s="60">
        <v>75</v>
      </c>
      <c r="B76" s="61" t="s">
        <v>5071</v>
      </c>
      <c r="C76" s="61" t="s">
        <v>1643</v>
      </c>
      <c r="D76" s="62" t="s">
        <v>496</v>
      </c>
      <c r="E76" s="62" t="s">
        <v>5090</v>
      </c>
      <c r="F76" s="63">
        <v>9781466642386</v>
      </c>
      <c r="G76" s="63">
        <v>9781466642379</v>
      </c>
      <c r="H76" s="64" t="s">
        <v>5091</v>
      </c>
      <c r="I76" s="65">
        <v>1</v>
      </c>
      <c r="J76" s="65">
        <v>1</v>
      </c>
      <c r="K76" s="61" t="s">
        <v>5092</v>
      </c>
      <c r="L76" s="61" t="s">
        <v>569</v>
      </c>
      <c r="M76" s="66">
        <v>2013</v>
      </c>
      <c r="N76" s="87" t="str">
        <f>HYPERLINK("http://services.igi-global.com/resolvedoi/resolve.aspx?doi=10.4018/978-1-46664-237-9")</f>
        <v>http://services.igi-global.com/resolvedoi/resolve.aspx?doi=10.4018/978-1-46664-237-9</v>
      </c>
    </row>
    <row r="77" spans="1:14" s="67" customFormat="1" ht="20.100000000000001" customHeight="1">
      <c r="A77" s="60">
        <v>76</v>
      </c>
      <c r="B77" s="61" t="s">
        <v>5071</v>
      </c>
      <c r="C77" s="61" t="s">
        <v>1643</v>
      </c>
      <c r="D77" s="62" t="s">
        <v>5405</v>
      </c>
      <c r="E77" s="62" t="s">
        <v>5406</v>
      </c>
      <c r="F77" s="63">
        <v>9781613500750</v>
      </c>
      <c r="G77" s="63">
        <v>9781613500743</v>
      </c>
      <c r="H77" s="64" t="s">
        <v>5407</v>
      </c>
      <c r="I77" s="65">
        <v>1</v>
      </c>
      <c r="J77" s="65">
        <v>1</v>
      </c>
      <c r="K77" s="61" t="s">
        <v>5408</v>
      </c>
      <c r="L77" s="61" t="s">
        <v>569</v>
      </c>
      <c r="M77" s="66">
        <v>2012</v>
      </c>
      <c r="N77" s="87" t="str">
        <f>HYPERLINK("http://services.igi-global.com/resolvedoi/resolve.aspx?doi=10.4018/978-1-61350-074-3")</f>
        <v>http://services.igi-global.com/resolvedoi/resolve.aspx?doi=10.4018/978-1-61350-074-3</v>
      </c>
    </row>
    <row r="78" spans="1:14" s="67" customFormat="1" ht="20.100000000000001" customHeight="1">
      <c r="A78" s="60">
        <v>77</v>
      </c>
      <c r="B78" s="61" t="s">
        <v>5071</v>
      </c>
      <c r="C78" s="61" t="s">
        <v>1643</v>
      </c>
      <c r="D78" s="62" t="s">
        <v>5409</v>
      </c>
      <c r="E78" s="62" t="s">
        <v>5410</v>
      </c>
      <c r="F78" s="63">
        <v>9781615208623</v>
      </c>
      <c r="G78" s="63">
        <v>9781615208616</v>
      </c>
      <c r="H78" s="64" t="s">
        <v>5411</v>
      </c>
      <c r="I78" s="65">
        <v>1</v>
      </c>
      <c r="J78" s="65">
        <v>1</v>
      </c>
      <c r="K78" s="61" t="s">
        <v>5412</v>
      </c>
      <c r="L78" s="61" t="s">
        <v>569</v>
      </c>
      <c r="M78" s="66">
        <v>2011</v>
      </c>
      <c r="N78" s="87" t="str">
        <f>HYPERLINK("http://services.igi-global.com/resolvedoi/resolve.aspx?doi=10.4018/978-1-61520-861-6")</f>
        <v>http://services.igi-global.com/resolvedoi/resolve.aspx?doi=10.4018/978-1-61520-861-6</v>
      </c>
    </row>
    <row r="79" spans="1:14" s="67" customFormat="1" ht="20.100000000000001" customHeight="1">
      <c r="A79" s="60">
        <v>78</v>
      </c>
      <c r="B79" s="61" t="s">
        <v>5071</v>
      </c>
      <c r="C79" s="61" t="s">
        <v>1643</v>
      </c>
      <c r="D79" s="62" t="s">
        <v>5401</v>
      </c>
      <c r="E79" s="62" t="s">
        <v>5402</v>
      </c>
      <c r="F79" s="63">
        <v>9781605669335</v>
      </c>
      <c r="G79" s="63">
        <v>9781605669328</v>
      </c>
      <c r="H79" s="64" t="s">
        <v>5403</v>
      </c>
      <c r="I79" s="65">
        <v>1</v>
      </c>
      <c r="J79" s="65">
        <v>1</v>
      </c>
      <c r="K79" s="61" t="s">
        <v>5404</v>
      </c>
      <c r="L79" s="61" t="s">
        <v>569</v>
      </c>
      <c r="M79" s="66">
        <v>2010</v>
      </c>
      <c r="N79" s="87" t="str">
        <f>HYPERLINK("http://services.igi-global.com/resolvedoi/resolve.aspx?doi=10.4018/978-1-60566-932-8")</f>
        <v>http://services.igi-global.com/resolvedoi/resolve.aspx?doi=10.4018/978-1-60566-932-8</v>
      </c>
    </row>
    <row r="80" spans="1:14" s="67" customFormat="1" ht="20.100000000000001" customHeight="1">
      <c r="A80" s="60">
        <v>79</v>
      </c>
      <c r="B80" s="61" t="s">
        <v>5071</v>
      </c>
      <c r="C80" s="61" t="s">
        <v>5150</v>
      </c>
      <c r="D80" s="62" t="s">
        <v>496</v>
      </c>
      <c r="E80" s="62" t="s">
        <v>5151</v>
      </c>
      <c r="F80" s="63">
        <v>9781466661035</v>
      </c>
      <c r="G80" s="63">
        <v>9781466661028</v>
      </c>
      <c r="H80" s="64" t="s">
        <v>5152</v>
      </c>
      <c r="I80" s="65">
        <v>1</v>
      </c>
      <c r="J80" s="65">
        <v>1</v>
      </c>
      <c r="K80" s="61" t="s">
        <v>2596</v>
      </c>
      <c r="L80" s="61" t="s">
        <v>569</v>
      </c>
      <c r="M80" s="66">
        <v>2014</v>
      </c>
      <c r="N80" s="87" t="str">
        <f>HYPERLINK("http://services.igi-global.com/resolvedoi/resolve.aspx?doi=10.4018/978-1-46666-102-8")</f>
        <v>http://services.igi-global.com/resolvedoi/resolve.aspx?doi=10.4018/978-1-46666-102-8</v>
      </c>
    </row>
    <row r="81" spans="1:14" s="67" customFormat="1" ht="20.100000000000001" customHeight="1">
      <c r="A81" s="60">
        <v>80</v>
      </c>
      <c r="B81" s="61" t="s">
        <v>5071</v>
      </c>
      <c r="C81" s="61" t="s">
        <v>5150</v>
      </c>
      <c r="D81" s="62" t="s">
        <v>499</v>
      </c>
      <c r="E81" s="62" t="s">
        <v>5153</v>
      </c>
      <c r="F81" s="63">
        <v>9781466661554</v>
      </c>
      <c r="G81" s="63">
        <v>9781466661547</v>
      </c>
      <c r="H81" s="64" t="s">
        <v>5154</v>
      </c>
      <c r="I81" s="65">
        <v>1</v>
      </c>
      <c r="J81" s="65">
        <v>1</v>
      </c>
      <c r="K81" s="61" t="s">
        <v>5155</v>
      </c>
      <c r="L81" s="61" t="s">
        <v>569</v>
      </c>
      <c r="M81" s="66">
        <v>2014</v>
      </c>
      <c r="N81" s="87" t="str">
        <f>HYPERLINK("http://services.igi-global.com/resolvedoi/resolve.aspx?doi=10.4018/978-1-46666-154-7")</f>
        <v>http://services.igi-global.com/resolvedoi/resolve.aspx?doi=10.4018/978-1-46666-154-7</v>
      </c>
    </row>
    <row r="82" spans="1:14" s="67" customFormat="1" ht="20.100000000000001" customHeight="1">
      <c r="A82" s="60">
        <v>81</v>
      </c>
      <c r="B82" s="61" t="s">
        <v>5071</v>
      </c>
      <c r="C82" s="61" t="s">
        <v>1720</v>
      </c>
      <c r="D82" s="62" t="s">
        <v>5173</v>
      </c>
      <c r="E82" s="62" t="s">
        <v>5174</v>
      </c>
      <c r="F82" s="63">
        <v>9781466662896</v>
      </c>
      <c r="G82" s="63">
        <v>9781466662889</v>
      </c>
      <c r="H82" s="64" t="s">
        <v>5175</v>
      </c>
      <c r="I82" s="65">
        <v>1</v>
      </c>
      <c r="J82" s="65">
        <v>1</v>
      </c>
      <c r="K82" s="61" t="s">
        <v>5176</v>
      </c>
      <c r="L82" s="61" t="s">
        <v>569</v>
      </c>
      <c r="M82" s="66">
        <v>2015</v>
      </c>
      <c r="N82" s="87" t="str">
        <f>HYPERLINK("http://services.igi-global.com/resolvedoi/resolve.aspx?doi=10.4018/978-1-46666-288-9")</f>
        <v>http://services.igi-global.com/resolvedoi/resolve.aspx?doi=10.4018/978-1-46666-288-9</v>
      </c>
    </row>
    <row r="83" spans="1:14" s="67" customFormat="1" ht="20.100000000000001" customHeight="1">
      <c r="A83" s="60">
        <v>82</v>
      </c>
      <c r="B83" s="61" t="s">
        <v>5071</v>
      </c>
      <c r="C83" s="61" t="s">
        <v>1720</v>
      </c>
      <c r="D83" s="62" t="s">
        <v>944</v>
      </c>
      <c r="E83" s="62" t="s">
        <v>5209</v>
      </c>
      <c r="F83" s="63">
        <v>9781466664944</v>
      </c>
      <c r="G83" s="63">
        <v>9781466664937</v>
      </c>
      <c r="H83" s="64" t="s">
        <v>5210</v>
      </c>
      <c r="I83" s="65">
        <v>1</v>
      </c>
      <c r="J83" s="65">
        <v>1</v>
      </c>
      <c r="K83" s="61" t="s">
        <v>1069</v>
      </c>
      <c r="L83" s="61" t="s">
        <v>569</v>
      </c>
      <c r="M83" s="66">
        <v>2015</v>
      </c>
      <c r="N83" s="87" t="str">
        <f>HYPERLINK("http://services.igi-global.com/resolvedoi/resolve.aspx?doi=10.4018/978-1-46666-493-7")</f>
        <v>http://services.igi-global.com/resolvedoi/resolve.aspx?doi=10.4018/978-1-46666-493-7</v>
      </c>
    </row>
    <row r="84" spans="1:14" s="67" customFormat="1" ht="20.100000000000001" customHeight="1">
      <c r="A84" s="60">
        <v>83</v>
      </c>
      <c r="B84" s="61" t="s">
        <v>5071</v>
      </c>
      <c r="C84" s="61" t="s">
        <v>1720</v>
      </c>
      <c r="D84" s="62" t="s">
        <v>690</v>
      </c>
      <c r="E84" s="62" t="s">
        <v>5267</v>
      </c>
      <c r="F84" s="63">
        <v>9781466673786</v>
      </c>
      <c r="G84" s="63">
        <v>9781466673779</v>
      </c>
      <c r="H84" s="64" t="s">
        <v>5268</v>
      </c>
      <c r="I84" s="65">
        <v>1</v>
      </c>
      <c r="J84" s="65">
        <v>1</v>
      </c>
      <c r="K84" s="61" t="s">
        <v>5269</v>
      </c>
      <c r="L84" s="61" t="s">
        <v>569</v>
      </c>
      <c r="M84" s="66">
        <v>2015</v>
      </c>
      <c r="N84" s="87" t="str">
        <f>HYPERLINK("http://services.igi-global.com/resolvedoi/resolve.aspx?doi=10.4018/978-1-46667-377-9")</f>
        <v>http://services.igi-global.com/resolvedoi/resolve.aspx?doi=10.4018/978-1-46667-377-9</v>
      </c>
    </row>
    <row r="85" spans="1:14" s="67" customFormat="1" ht="20.100000000000001" customHeight="1">
      <c r="A85" s="60">
        <v>84</v>
      </c>
      <c r="B85" s="61" t="s">
        <v>5071</v>
      </c>
      <c r="C85" s="61" t="s">
        <v>1720</v>
      </c>
      <c r="D85" s="62" t="s">
        <v>5276</v>
      </c>
      <c r="E85" s="62" t="s">
        <v>5277</v>
      </c>
      <c r="F85" s="63">
        <v>9781466674103</v>
      </c>
      <c r="G85" s="63">
        <v>9781466674097</v>
      </c>
      <c r="H85" s="64" t="s">
        <v>5278</v>
      </c>
      <c r="I85" s="65">
        <v>1</v>
      </c>
      <c r="J85" s="65">
        <v>1</v>
      </c>
      <c r="K85" s="61" t="s">
        <v>5279</v>
      </c>
      <c r="L85" s="61" t="s">
        <v>569</v>
      </c>
      <c r="M85" s="66">
        <v>2015</v>
      </c>
      <c r="N85" s="87" t="str">
        <f>HYPERLINK("http://services.igi-global.com/resolvedoi/resolve.aspx?doi=10.4018/978-1-46667-409-7")</f>
        <v>http://services.igi-global.com/resolvedoi/resolve.aspx?doi=10.4018/978-1-46667-409-7</v>
      </c>
    </row>
    <row r="86" spans="1:14" s="67" customFormat="1" ht="20.100000000000001" customHeight="1">
      <c r="A86" s="60">
        <v>85</v>
      </c>
      <c r="B86" s="61" t="s">
        <v>5071</v>
      </c>
      <c r="C86" s="61" t="s">
        <v>1720</v>
      </c>
      <c r="D86" s="62" t="s">
        <v>5280</v>
      </c>
      <c r="E86" s="62" t="s">
        <v>5281</v>
      </c>
      <c r="F86" s="63">
        <v>9781466674165</v>
      </c>
      <c r="G86" s="63">
        <v>9781466674158</v>
      </c>
      <c r="H86" s="64" t="s">
        <v>5282</v>
      </c>
      <c r="I86" s="65">
        <v>1</v>
      </c>
      <c r="J86" s="65">
        <v>1</v>
      </c>
      <c r="K86" s="61" t="s">
        <v>5283</v>
      </c>
      <c r="L86" s="61" t="s">
        <v>569</v>
      </c>
      <c r="M86" s="66">
        <v>2015</v>
      </c>
      <c r="N86" s="87" t="str">
        <f>HYPERLINK("http://services.igi-global.com/resolvedoi/resolve.aspx?doi=10.4018/978-1-46667-415-8")</f>
        <v>http://services.igi-global.com/resolvedoi/resolve.aspx?doi=10.4018/978-1-46667-415-8</v>
      </c>
    </row>
    <row r="87" spans="1:14" s="67" customFormat="1" ht="20.100000000000001" customHeight="1">
      <c r="A87" s="60">
        <v>86</v>
      </c>
      <c r="B87" s="61" t="s">
        <v>5071</v>
      </c>
      <c r="C87" s="61" t="s">
        <v>1720</v>
      </c>
      <c r="D87" s="62" t="s">
        <v>503</v>
      </c>
      <c r="E87" s="62" t="s">
        <v>5311</v>
      </c>
      <c r="F87" s="63">
        <v>9781466681231</v>
      </c>
      <c r="G87" s="63">
        <v>9781466681224</v>
      </c>
      <c r="H87" s="64" t="s">
        <v>5312</v>
      </c>
      <c r="I87" s="65">
        <v>1</v>
      </c>
      <c r="J87" s="65">
        <v>1</v>
      </c>
      <c r="K87" s="61" t="s">
        <v>5313</v>
      </c>
      <c r="L87" s="61" t="s">
        <v>569</v>
      </c>
      <c r="M87" s="66">
        <v>2015</v>
      </c>
      <c r="N87" s="87" t="str">
        <f>HYPERLINK("http://services.igi-global.com/resolvedoi/resolve.aspx?doi=10.4018/978-1-46668-122-4")</f>
        <v>http://services.igi-global.com/resolvedoi/resolve.aspx?doi=10.4018/978-1-46668-122-4</v>
      </c>
    </row>
    <row r="88" spans="1:14" s="67" customFormat="1" ht="20.100000000000001" customHeight="1">
      <c r="A88" s="60">
        <v>87</v>
      </c>
      <c r="B88" s="61" t="s">
        <v>5071</v>
      </c>
      <c r="C88" s="61" t="s">
        <v>1720</v>
      </c>
      <c r="D88" s="62" t="s">
        <v>1330</v>
      </c>
      <c r="E88" s="62" t="s">
        <v>5318</v>
      </c>
      <c r="F88" s="63">
        <v>9781466681576</v>
      </c>
      <c r="G88" s="63">
        <v>9781466681569</v>
      </c>
      <c r="H88" s="64" t="s">
        <v>5319</v>
      </c>
      <c r="I88" s="65">
        <v>1</v>
      </c>
      <c r="J88" s="65">
        <v>1</v>
      </c>
      <c r="K88" s="61" t="s">
        <v>5320</v>
      </c>
      <c r="L88" s="61" t="s">
        <v>569</v>
      </c>
      <c r="M88" s="66">
        <v>2015</v>
      </c>
      <c r="N88" s="87" t="str">
        <f>HYPERLINK("http://services.igi-global.com/resolvedoi/resolve.aspx?doi=10.4018/978-1-46668-156-9")</f>
        <v>http://services.igi-global.com/resolvedoi/resolve.aspx?doi=10.4018/978-1-46668-156-9</v>
      </c>
    </row>
    <row r="89" spans="1:14" s="67" customFormat="1" ht="20.100000000000001" customHeight="1">
      <c r="A89" s="60">
        <v>88</v>
      </c>
      <c r="B89" s="61" t="s">
        <v>5071</v>
      </c>
      <c r="C89" s="61" t="s">
        <v>1720</v>
      </c>
      <c r="D89" s="62" t="s">
        <v>5328</v>
      </c>
      <c r="E89" s="62" t="s">
        <v>5329</v>
      </c>
      <c r="F89" s="63">
        <v>9781466681767</v>
      </c>
      <c r="G89" s="63">
        <v>9781466681750</v>
      </c>
      <c r="H89" s="64" t="s">
        <v>5330</v>
      </c>
      <c r="I89" s="65">
        <v>1</v>
      </c>
      <c r="J89" s="65">
        <v>1</v>
      </c>
      <c r="K89" s="61" t="s">
        <v>5331</v>
      </c>
      <c r="L89" s="61" t="s">
        <v>569</v>
      </c>
      <c r="M89" s="66">
        <v>2015</v>
      </c>
      <c r="N89" s="87" t="str">
        <f>HYPERLINK("http://services.igi-global.com/resolvedoi/resolve.aspx?doi=10.4018/978-1-46668-175-0")</f>
        <v>http://services.igi-global.com/resolvedoi/resolve.aspx?doi=10.4018/978-1-46668-175-0</v>
      </c>
    </row>
    <row r="90" spans="1:14" s="67" customFormat="1" ht="20.100000000000001" customHeight="1">
      <c r="A90" s="60">
        <v>89</v>
      </c>
      <c r="B90" s="61" t="s">
        <v>5071</v>
      </c>
      <c r="C90" s="61" t="s">
        <v>1720</v>
      </c>
      <c r="D90" s="62" t="s">
        <v>503</v>
      </c>
      <c r="E90" s="62" t="s">
        <v>5351</v>
      </c>
      <c r="F90" s="63">
        <v>9781466683198</v>
      </c>
      <c r="G90" s="63">
        <v>9781466683181</v>
      </c>
      <c r="H90" s="64" t="s">
        <v>5352</v>
      </c>
      <c r="I90" s="65">
        <v>1</v>
      </c>
      <c r="J90" s="65">
        <v>1</v>
      </c>
      <c r="K90" s="61" t="s">
        <v>5353</v>
      </c>
      <c r="L90" s="61" t="s">
        <v>569</v>
      </c>
      <c r="M90" s="66">
        <v>2015</v>
      </c>
      <c r="N90" s="87" t="str">
        <f>HYPERLINK("http://services.igi-global.com/resolvedoi/resolve.aspx?doi=10.4018/978-1-46668-318-1")</f>
        <v>http://services.igi-global.com/resolvedoi/resolve.aspx?doi=10.4018/978-1-46668-318-1</v>
      </c>
    </row>
    <row r="91" spans="1:14" s="67" customFormat="1" ht="20.100000000000001" customHeight="1">
      <c r="A91" s="60">
        <v>90</v>
      </c>
      <c r="B91" s="61" t="s">
        <v>5071</v>
      </c>
      <c r="C91" s="61" t="s">
        <v>1720</v>
      </c>
      <c r="D91" s="62" t="s">
        <v>2092</v>
      </c>
      <c r="E91" s="62" t="s">
        <v>5364</v>
      </c>
      <c r="F91" s="63">
        <v>9781466683372</v>
      </c>
      <c r="G91" s="63">
        <v>9781466683365</v>
      </c>
      <c r="H91" s="64" t="s">
        <v>5365</v>
      </c>
      <c r="I91" s="65">
        <v>1</v>
      </c>
      <c r="J91" s="65">
        <v>1</v>
      </c>
      <c r="K91" s="61" t="s">
        <v>5366</v>
      </c>
      <c r="L91" s="61" t="s">
        <v>569</v>
      </c>
      <c r="M91" s="66">
        <v>2015</v>
      </c>
      <c r="N91" s="87" t="str">
        <f>HYPERLINK("http://services.igi-global.com/resolvedoi/resolve.aspx?doi=10.4018/978-1-46668-336-5")</f>
        <v>http://services.igi-global.com/resolvedoi/resolve.aspx?doi=10.4018/978-1-46668-336-5</v>
      </c>
    </row>
    <row r="92" spans="1:14" s="67" customFormat="1" ht="20.100000000000001" customHeight="1">
      <c r="A92" s="60">
        <v>91</v>
      </c>
      <c r="B92" s="61" t="s">
        <v>5071</v>
      </c>
      <c r="C92" s="61" t="s">
        <v>1720</v>
      </c>
      <c r="D92" s="62" t="s">
        <v>5382</v>
      </c>
      <c r="E92" s="62" t="s">
        <v>5383</v>
      </c>
      <c r="F92" s="63">
        <v>9781466683938</v>
      </c>
      <c r="G92" s="63">
        <v>9781466683921</v>
      </c>
      <c r="H92" s="64" t="s">
        <v>5384</v>
      </c>
      <c r="I92" s="65">
        <v>1</v>
      </c>
      <c r="J92" s="65">
        <v>1</v>
      </c>
      <c r="K92" s="61" t="s">
        <v>5385</v>
      </c>
      <c r="L92" s="61" t="s">
        <v>569</v>
      </c>
      <c r="M92" s="66">
        <v>2015</v>
      </c>
      <c r="N92" s="87" t="str">
        <f>HYPERLINK("http://services.igi-global.com/resolvedoi/resolve.aspx?doi=10.4018/978-1-46668-392-1")</f>
        <v>http://services.igi-global.com/resolvedoi/resolve.aspx?doi=10.4018/978-1-46668-392-1</v>
      </c>
    </row>
    <row r="93" spans="1:14" s="67" customFormat="1" ht="20.100000000000001" customHeight="1">
      <c r="A93" s="60">
        <v>92</v>
      </c>
      <c r="B93" s="61" t="s">
        <v>5071</v>
      </c>
      <c r="C93" s="61" t="s">
        <v>1720</v>
      </c>
      <c r="D93" s="62" t="s">
        <v>5397</v>
      </c>
      <c r="E93" s="62" t="s">
        <v>5398</v>
      </c>
      <c r="F93" s="63">
        <v>9781466684669</v>
      </c>
      <c r="G93" s="63">
        <v>9781466684652</v>
      </c>
      <c r="H93" s="64" t="s">
        <v>5399</v>
      </c>
      <c r="I93" s="65">
        <v>1</v>
      </c>
      <c r="J93" s="65">
        <v>1</v>
      </c>
      <c r="K93" s="61" t="s">
        <v>5400</v>
      </c>
      <c r="L93" s="61" t="s">
        <v>569</v>
      </c>
      <c r="M93" s="66">
        <v>2015</v>
      </c>
      <c r="N93" s="87" t="str">
        <f>HYPERLINK("http://services.igi-global.com/resolvedoi/resolve.aspx?doi=10.4018/978-1-46668-465-2")</f>
        <v>http://services.igi-global.com/resolvedoi/resolve.aspx?doi=10.4018/978-1-46668-465-2</v>
      </c>
    </row>
    <row r="94" spans="1:14" s="67" customFormat="1" ht="20.100000000000001" customHeight="1">
      <c r="A94" s="60">
        <v>93</v>
      </c>
      <c r="B94" s="61" t="s">
        <v>5071</v>
      </c>
      <c r="C94" s="61" t="s">
        <v>1720</v>
      </c>
      <c r="D94" s="62" t="s">
        <v>5093</v>
      </c>
      <c r="E94" s="62" t="s">
        <v>5094</v>
      </c>
      <c r="F94" s="63">
        <v>9781466643666</v>
      </c>
      <c r="G94" s="63">
        <v>9781466643659</v>
      </c>
      <c r="H94" s="64" t="s">
        <v>5095</v>
      </c>
      <c r="I94" s="65">
        <v>1</v>
      </c>
      <c r="J94" s="65">
        <v>1</v>
      </c>
      <c r="K94" s="61" t="s">
        <v>5096</v>
      </c>
      <c r="L94" s="61" t="s">
        <v>569</v>
      </c>
      <c r="M94" s="66">
        <v>2014</v>
      </c>
      <c r="N94" s="87" t="str">
        <f>HYPERLINK("http://services.igi-global.com/resolvedoi/resolve.aspx?doi=10.4018/978-1-46664-365-9")</f>
        <v>http://services.igi-global.com/resolvedoi/resolve.aspx?doi=10.4018/978-1-46664-365-9</v>
      </c>
    </row>
    <row r="95" spans="1:14" s="67" customFormat="1" ht="20.100000000000001" customHeight="1">
      <c r="A95" s="60">
        <v>94</v>
      </c>
      <c r="B95" s="61" t="s">
        <v>5071</v>
      </c>
      <c r="C95" s="61" t="s">
        <v>1720</v>
      </c>
      <c r="D95" s="62" t="s">
        <v>5115</v>
      </c>
      <c r="E95" s="62" t="s">
        <v>5116</v>
      </c>
      <c r="F95" s="63">
        <v>9781466647404</v>
      </c>
      <c r="G95" s="63">
        <v>9781466647398</v>
      </c>
      <c r="H95" s="64" t="s">
        <v>5117</v>
      </c>
      <c r="I95" s="65">
        <v>1</v>
      </c>
      <c r="J95" s="65">
        <v>1</v>
      </c>
      <c r="K95" s="61" t="s">
        <v>5118</v>
      </c>
      <c r="L95" s="61" t="s">
        <v>569</v>
      </c>
      <c r="M95" s="66">
        <v>2014</v>
      </c>
      <c r="N95" s="87" t="str">
        <f>HYPERLINK("http://services.igi-global.com/resolvedoi/resolve.aspx?doi=10.4018/978-1-46664-739-8")</f>
        <v>http://services.igi-global.com/resolvedoi/resolve.aspx?doi=10.4018/978-1-46664-739-8</v>
      </c>
    </row>
    <row r="96" spans="1:14" s="67" customFormat="1" ht="20.100000000000001" customHeight="1">
      <c r="A96" s="60">
        <v>95</v>
      </c>
      <c r="B96" s="61" t="s">
        <v>5071</v>
      </c>
      <c r="C96" s="61" t="s">
        <v>1720</v>
      </c>
      <c r="D96" s="62" t="s">
        <v>5142</v>
      </c>
      <c r="E96" s="62" t="s">
        <v>5143</v>
      </c>
      <c r="F96" s="63">
        <v>9781466652156</v>
      </c>
      <c r="G96" s="63">
        <v>9781466652149</v>
      </c>
      <c r="H96" s="64" t="s">
        <v>5144</v>
      </c>
      <c r="I96" s="65">
        <v>1</v>
      </c>
      <c r="J96" s="65">
        <v>1</v>
      </c>
      <c r="K96" s="61" t="s">
        <v>5145</v>
      </c>
      <c r="L96" s="61" t="s">
        <v>569</v>
      </c>
      <c r="M96" s="66">
        <v>2014</v>
      </c>
      <c r="N96" s="87" t="str">
        <f>HYPERLINK("http://services.igi-global.com/resolvedoi/resolve.aspx?doi=10.4018/978-1-46665-214-9")</f>
        <v>http://services.igi-global.com/resolvedoi/resolve.aspx?doi=10.4018/978-1-46665-214-9</v>
      </c>
    </row>
    <row r="97" spans="1:14" s="67" customFormat="1" ht="20.100000000000001" customHeight="1">
      <c r="A97" s="60">
        <v>96</v>
      </c>
      <c r="B97" s="61" t="s">
        <v>5071</v>
      </c>
      <c r="C97" s="61" t="s">
        <v>1720</v>
      </c>
      <c r="D97" s="62" t="s">
        <v>503</v>
      </c>
      <c r="E97" s="62" t="s">
        <v>5162</v>
      </c>
      <c r="F97" s="63">
        <v>9781466662575</v>
      </c>
      <c r="G97" s="63">
        <v>9781466662568</v>
      </c>
      <c r="H97" s="64" t="s">
        <v>5163</v>
      </c>
      <c r="I97" s="65">
        <v>1</v>
      </c>
      <c r="J97" s="65">
        <v>1</v>
      </c>
      <c r="K97" s="61" t="s">
        <v>2596</v>
      </c>
      <c r="L97" s="61" t="s">
        <v>569</v>
      </c>
      <c r="M97" s="66">
        <v>2014</v>
      </c>
      <c r="N97" s="87" t="str">
        <f>HYPERLINK("http://services.igi-global.com/resolvedoi/resolve.aspx?doi=10.4018/978-1-46666-256-8")</f>
        <v>http://services.igi-global.com/resolvedoi/resolve.aspx?doi=10.4018/978-1-46666-256-8</v>
      </c>
    </row>
    <row r="98" spans="1:14" s="67" customFormat="1" ht="20.100000000000001" customHeight="1">
      <c r="A98" s="60">
        <v>97</v>
      </c>
      <c r="B98" s="61" t="s">
        <v>5071</v>
      </c>
      <c r="C98" s="61" t="s">
        <v>1720</v>
      </c>
      <c r="D98" s="62" t="s">
        <v>5079</v>
      </c>
      <c r="E98" s="62" t="s">
        <v>5080</v>
      </c>
      <c r="F98" s="63">
        <v>9781466628014</v>
      </c>
      <c r="G98" s="63">
        <v>9781466628007</v>
      </c>
      <c r="H98" s="64" t="s">
        <v>5081</v>
      </c>
      <c r="I98" s="65">
        <v>1</v>
      </c>
      <c r="J98" s="65">
        <v>1</v>
      </c>
      <c r="K98" s="61" t="s">
        <v>547</v>
      </c>
      <c r="L98" s="61" t="s">
        <v>569</v>
      </c>
      <c r="M98" s="66">
        <v>2013</v>
      </c>
      <c r="N98" s="87" t="str">
        <f>HYPERLINK("http://services.igi-global.com/resolvedoi/resolve.aspx?doi=10.4018/978-1-46662-800-7")</f>
        <v>http://services.igi-global.com/resolvedoi/resolve.aspx?doi=10.4018/978-1-46662-800-7</v>
      </c>
    </row>
    <row r="99" spans="1:14" s="67" customFormat="1" ht="20.100000000000001" customHeight="1">
      <c r="A99" s="60">
        <v>98</v>
      </c>
      <c r="B99" s="61" t="s">
        <v>5071</v>
      </c>
      <c r="C99" s="61" t="s">
        <v>1649</v>
      </c>
      <c r="D99" s="62" t="s">
        <v>5218</v>
      </c>
      <c r="E99" s="62" t="s">
        <v>5219</v>
      </c>
      <c r="F99" s="63">
        <v>9781466665644</v>
      </c>
      <c r="G99" s="63">
        <v>9781466665637</v>
      </c>
      <c r="H99" s="64" t="s">
        <v>5220</v>
      </c>
      <c r="I99" s="65">
        <v>1</v>
      </c>
      <c r="J99" s="65">
        <v>1</v>
      </c>
      <c r="K99" s="61" t="s">
        <v>5221</v>
      </c>
      <c r="L99" s="61" t="s">
        <v>569</v>
      </c>
      <c r="M99" s="66">
        <v>2015</v>
      </c>
      <c r="N99" s="87" t="str">
        <f>HYPERLINK("http://services.igi-global.com/resolvedoi/resolve.aspx?doi=10.4018/978-1-46666-563-7")</f>
        <v>http://services.igi-global.com/resolvedoi/resolve.aspx?doi=10.4018/978-1-46666-563-7</v>
      </c>
    </row>
    <row r="100" spans="1:14" s="67" customFormat="1" ht="20.100000000000001" customHeight="1">
      <c r="A100" s="60">
        <v>99</v>
      </c>
      <c r="B100" s="61" t="s">
        <v>5071</v>
      </c>
      <c r="C100" s="61" t="s">
        <v>1649</v>
      </c>
      <c r="D100" s="62" t="s">
        <v>414</v>
      </c>
      <c r="E100" s="62" t="s">
        <v>5254</v>
      </c>
      <c r="F100" s="63">
        <v>9781466672673</v>
      </c>
      <c r="G100" s="63">
        <v>9781466672666</v>
      </c>
      <c r="H100" s="64" t="s">
        <v>5255</v>
      </c>
      <c r="I100" s="65">
        <v>1</v>
      </c>
      <c r="J100" s="65">
        <v>1</v>
      </c>
      <c r="K100" s="61" t="s">
        <v>5256</v>
      </c>
      <c r="L100" s="61" t="s">
        <v>569</v>
      </c>
      <c r="M100" s="66">
        <v>2015</v>
      </c>
      <c r="N100" s="87" t="str">
        <f>HYPERLINK("http://services.igi-global.com/resolvedoi/resolve.aspx?doi=10.4018/978-1-46667-266-6")</f>
        <v>http://services.igi-global.com/resolvedoi/resolve.aspx?doi=10.4018/978-1-46667-266-6</v>
      </c>
    </row>
    <row r="101" spans="1:14" s="67" customFormat="1" ht="20.100000000000001" customHeight="1">
      <c r="A101" s="60">
        <v>100</v>
      </c>
      <c r="B101" s="61" t="s">
        <v>5071</v>
      </c>
      <c r="C101" s="61" t="s">
        <v>1649</v>
      </c>
      <c r="D101" s="62" t="s">
        <v>267</v>
      </c>
      <c r="E101" s="62" t="s">
        <v>5321</v>
      </c>
      <c r="F101" s="63">
        <v>9781466681606</v>
      </c>
      <c r="G101" s="63">
        <v>9781466681590</v>
      </c>
      <c r="H101" s="64" t="s">
        <v>5322</v>
      </c>
      <c r="I101" s="65">
        <v>1</v>
      </c>
      <c r="J101" s="65">
        <v>1</v>
      </c>
      <c r="K101" s="61" t="s">
        <v>5323</v>
      </c>
      <c r="L101" s="61" t="s">
        <v>569</v>
      </c>
      <c r="M101" s="66">
        <v>2015</v>
      </c>
      <c r="N101" s="87" t="str">
        <f>HYPERLINK("http://services.igi-global.com/resolvedoi/resolve.aspx?doi=10.4018/978-1-46668-159-0")</f>
        <v>http://services.igi-global.com/resolvedoi/resolve.aspx?doi=10.4018/978-1-46668-159-0</v>
      </c>
    </row>
    <row r="102" spans="1:14" s="67" customFormat="1" ht="20.100000000000001" customHeight="1">
      <c r="A102" s="60">
        <v>101</v>
      </c>
      <c r="B102" s="61" t="s">
        <v>5071</v>
      </c>
      <c r="C102" s="61" t="s">
        <v>1649</v>
      </c>
      <c r="D102" s="62" t="s">
        <v>414</v>
      </c>
      <c r="E102" s="62" t="s">
        <v>5082</v>
      </c>
      <c r="F102" s="63">
        <v>9781466636385</v>
      </c>
      <c r="G102" s="63">
        <v>9781466636378</v>
      </c>
      <c r="H102" s="64" t="s">
        <v>5083</v>
      </c>
      <c r="I102" s="65">
        <v>1</v>
      </c>
      <c r="J102" s="65">
        <v>1</v>
      </c>
      <c r="K102" s="61" t="s">
        <v>1544</v>
      </c>
      <c r="L102" s="61" t="s">
        <v>569</v>
      </c>
      <c r="M102" s="66">
        <v>2013</v>
      </c>
      <c r="N102" s="87" t="str">
        <f>HYPERLINK("http://services.igi-global.com/resolvedoi/resolve.aspx?doi=10.4018/978-1-46663-637-8")</f>
        <v>http://services.igi-global.com/resolvedoi/resolve.aspx?doi=10.4018/978-1-46663-637-8</v>
      </c>
    </row>
    <row r="103" spans="1:14" s="67" customFormat="1" ht="20.100000000000001" customHeight="1">
      <c r="A103" s="60">
        <v>102</v>
      </c>
      <c r="B103" s="61" t="s">
        <v>5071</v>
      </c>
      <c r="C103" s="61" t="s">
        <v>1649</v>
      </c>
      <c r="D103" s="62" t="s">
        <v>414</v>
      </c>
      <c r="E103" s="62" t="s">
        <v>5084</v>
      </c>
      <c r="F103" s="63">
        <v>9781466641747</v>
      </c>
      <c r="G103" s="63">
        <v>9781466641730</v>
      </c>
      <c r="H103" s="64" t="s">
        <v>5085</v>
      </c>
      <c r="I103" s="65">
        <v>1</v>
      </c>
      <c r="J103" s="65">
        <v>1</v>
      </c>
      <c r="K103" s="61" t="s">
        <v>5086</v>
      </c>
      <c r="L103" s="61" t="s">
        <v>569</v>
      </c>
      <c r="M103" s="66">
        <v>2013</v>
      </c>
      <c r="N103" s="87" t="str">
        <f>HYPERLINK("http://services.igi-global.com/resolvedoi/resolve.aspx?doi=10.4018/978-1-46664-173-0")</f>
        <v>http://services.igi-global.com/resolvedoi/resolve.aspx?doi=10.4018/978-1-46664-173-0</v>
      </c>
    </row>
    <row r="104" spans="1:14" s="67" customFormat="1" ht="20.100000000000001" customHeight="1">
      <c r="A104" s="60">
        <v>103</v>
      </c>
      <c r="B104" s="61" t="s">
        <v>5071</v>
      </c>
      <c r="C104" s="61" t="s">
        <v>1663</v>
      </c>
      <c r="D104" s="62" t="s">
        <v>5225</v>
      </c>
      <c r="E104" s="62" t="s">
        <v>5226</v>
      </c>
      <c r="F104" s="63">
        <v>9781466666009</v>
      </c>
      <c r="G104" s="63">
        <v>9781466665996</v>
      </c>
      <c r="H104" s="64" t="s">
        <v>5227</v>
      </c>
      <c r="I104" s="65">
        <v>1</v>
      </c>
      <c r="J104" s="65">
        <v>1</v>
      </c>
      <c r="K104" s="61" t="s">
        <v>5228</v>
      </c>
      <c r="L104" s="61" t="s">
        <v>569</v>
      </c>
      <c r="M104" s="66">
        <v>2015</v>
      </c>
      <c r="N104" s="87" t="str">
        <f>HYPERLINK("http://services.igi-global.com/resolvedoi/resolve.aspx?doi=10.4018/978-1-46666-599-6")</f>
        <v>http://services.igi-global.com/resolvedoi/resolve.aspx?doi=10.4018/978-1-46666-599-6</v>
      </c>
    </row>
    <row r="105" spans="1:14" s="67" customFormat="1" ht="20.100000000000001" customHeight="1">
      <c r="A105" s="60">
        <v>104</v>
      </c>
      <c r="B105" s="61" t="s">
        <v>5071</v>
      </c>
      <c r="C105" s="61" t="s">
        <v>1663</v>
      </c>
      <c r="D105" s="62" t="s">
        <v>518</v>
      </c>
      <c r="E105" s="62" t="s">
        <v>5229</v>
      </c>
      <c r="F105" s="63">
        <v>9781466666047</v>
      </c>
      <c r="G105" s="63">
        <v>9781466666030</v>
      </c>
      <c r="H105" s="64" t="s">
        <v>5230</v>
      </c>
      <c r="I105" s="65">
        <v>1</v>
      </c>
      <c r="J105" s="65">
        <v>1</v>
      </c>
      <c r="K105" s="61" t="s">
        <v>5231</v>
      </c>
      <c r="L105" s="61" t="s">
        <v>569</v>
      </c>
      <c r="M105" s="66">
        <v>2015</v>
      </c>
      <c r="N105" s="87" t="str">
        <f>HYPERLINK("http://services.igi-global.com/resolvedoi/resolve.aspx?doi=10.4018/978-1-46666-603-0")</f>
        <v>http://services.igi-global.com/resolvedoi/resolve.aspx?doi=10.4018/978-1-46666-603-0</v>
      </c>
    </row>
    <row r="106" spans="1:14" s="67" customFormat="1" ht="20.100000000000001" customHeight="1">
      <c r="A106" s="60">
        <v>105</v>
      </c>
      <c r="B106" s="61" t="s">
        <v>5071</v>
      </c>
      <c r="C106" s="61" t="s">
        <v>1663</v>
      </c>
      <c r="D106" s="62" t="s">
        <v>5294</v>
      </c>
      <c r="E106" s="62" t="s">
        <v>5295</v>
      </c>
      <c r="F106" s="63">
        <v>9781466674936</v>
      </c>
      <c r="G106" s="63">
        <v>9781466674929</v>
      </c>
      <c r="H106" s="64" t="s">
        <v>5296</v>
      </c>
      <c r="I106" s="65">
        <v>1</v>
      </c>
      <c r="J106" s="65">
        <v>1</v>
      </c>
      <c r="K106" s="61" t="s">
        <v>161</v>
      </c>
      <c r="L106" s="61" t="s">
        <v>569</v>
      </c>
      <c r="M106" s="66">
        <v>2015</v>
      </c>
      <c r="N106" s="87" t="str">
        <f>HYPERLINK("http://services.igi-global.com/resolvedoi/resolve.aspx?doi=10.4018/978-1-46667-492-9")</f>
        <v>http://services.igi-global.com/resolvedoi/resolve.aspx?doi=10.4018/978-1-46667-492-9</v>
      </c>
    </row>
    <row r="107" spans="1:14" s="67" customFormat="1" ht="20.100000000000001" customHeight="1">
      <c r="A107" s="60">
        <v>106</v>
      </c>
      <c r="B107" s="61" t="s">
        <v>5071</v>
      </c>
      <c r="C107" s="61" t="s">
        <v>1663</v>
      </c>
      <c r="D107" s="62" t="s">
        <v>5101</v>
      </c>
      <c r="E107" s="62" t="s">
        <v>5102</v>
      </c>
      <c r="F107" s="63">
        <v>9781466645875</v>
      </c>
      <c r="G107" s="63">
        <v>9781466645868</v>
      </c>
      <c r="H107" s="64" t="s">
        <v>5103</v>
      </c>
      <c r="I107" s="65">
        <v>1</v>
      </c>
      <c r="J107" s="65">
        <v>1</v>
      </c>
      <c r="K107" s="61" t="s">
        <v>1152</v>
      </c>
      <c r="L107" s="61" t="s">
        <v>569</v>
      </c>
      <c r="M107" s="66">
        <v>2014</v>
      </c>
      <c r="N107" s="87" t="str">
        <f>HYPERLINK("http://services.igi-global.com/resolvedoi/resolve.aspx?doi=10.4018/978-1-46664-586-8")</f>
        <v>http://services.igi-global.com/resolvedoi/resolve.aspx?doi=10.4018/978-1-46664-586-8</v>
      </c>
    </row>
    <row r="108" spans="1:14" s="67" customFormat="1" ht="20.100000000000001" customHeight="1">
      <c r="A108" s="60">
        <v>107</v>
      </c>
      <c r="B108" s="61" t="s">
        <v>5071</v>
      </c>
      <c r="C108" s="61" t="s">
        <v>1663</v>
      </c>
      <c r="D108" s="62" t="s">
        <v>150</v>
      </c>
      <c r="E108" s="62" t="s">
        <v>5132</v>
      </c>
      <c r="F108" s="63">
        <v>9781466650725</v>
      </c>
      <c r="G108" s="63">
        <v>9781466650718</v>
      </c>
      <c r="H108" s="64" t="s">
        <v>5133</v>
      </c>
      <c r="I108" s="65">
        <v>1</v>
      </c>
      <c r="J108" s="65">
        <v>1</v>
      </c>
      <c r="K108" s="61" t="s">
        <v>5134</v>
      </c>
      <c r="L108" s="61" t="s">
        <v>569</v>
      </c>
      <c r="M108" s="66">
        <v>2014</v>
      </c>
      <c r="N108" s="87" t="str">
        <f>HYPERLINK("http://services.igi-global.com/resolvedoi/resolve.aspx?doi=10.4018/978-1-46665-071-8")</f>
        <v>http://services.igi-global.com/resolvedoi/resolve.aspx?doi=10.4018/978-1-46665-071-8</v>
      </c>
    </row>
    <row r="109" spans="1:14" s="67" customFormat="1" ht="20.100000000000001" customHeight="1">
      <c r="A109" s="60">
        <v>108</v>
      </c>
      <c r="B109" s="61" t="s">
        <v>5413</v>
      </c>
      <c r="C109" s="61" t="s">
        <v>1697</v>
      </c>
      <c r="D109" s="62" t="s">
        <v>504</v>
      </c>
      <c r="E109" s="62" t="s">
        <v>2277</v>
      </c>
      <c r="F109" s="63">
        <v>9781466663176</v>
      </c>
      <c r="G109" s="63">
        <v>9781466663169</v>
      </c>
      <c r="H109" s="64" t="s">
        <v>5417</v>
      </c>
      <c r="I109" s="65">
        <v>1</v>
      </c>
      <c r="J109" s="65">
        <v>1</v>
      </c>
      <c r="K109" s="61" t="s">
        <v>572</v>
      </c>
      <c r="L109" s="61" t="s">
        <v>561</v>
      </c>
      <c r="M109" s="66">
        <v>2015</v>
      </c>
      <c r="N109" s="87" t="str">
        <f>HYPERLINK("http://services.igi-global.com/resolvedoi/resolve.aspx?doi=10.4018/978-1-46666-316-9")</f>
        <v>http://services.igi-global.com/resolvedoi/resolve.aspx?doi=10.4018/978-1-46666-316-9</v>
      </c>
    </row>
    <row r="110" spans="1:14" s="67" customFormat="1" ht="20.100000000000001" customHeight="1">
      <c r="A110" s="60">
        <v>109</v>
      </c>
      <c r="B110" s="61" t="s">
        <v>5413</v>
      </c>
      <c r="C110" s="61" t="s">
        <v>1697</v>
      </c>
      <c r="D110" s="62" t="s">
        <v>504</v>
      </c>
      <c r="E110" s="62" t="s">
        <v>1788</v>
      </c>
      <c r="F110" s="63">
        <v>9781466663213</v>
      </c>
      <c r="G110" s="63">
        <v>9781466663206</v>
      </c>
      <c r="H110" s="64" t="s">
        <v>5418</v>
      </c>
      <c r="I110" s="65">
        <v>1</v>
      </c>
      <c r="J110" s="65">
        <v>1</v>
      </c>
      <c r="K110" s="61" t="s">
        <v>1792</v>
      </c>
      <c r="L110" s="61" t="s">
        <v>561</v>
      </c>
      <c r="M110" s="66">
        <v>2015</v>
      </c>
      <c r="N110" s="87" t="str">
        <f>HYPERLINK("http://services.igi-global.com/resolvedoi/resolve.aspx?doi=10.4018/978-1-46666-320-6")</f>
        <v>http://services.igi-global.com/resolvedoi/resolve.aspx?doi=10.4018/978-1-46666-320-6</v>
      </c>
    </row>
    <row r="111" spans="1:14" s="67" customFormat="1" ht="20.100000000000001" customHeight="1">
      <c r="A111" s="60">
        <v>110</v>
      </c>
      <c r="B111" s="61" t="s">
        <v>5413</v>
      </c>
      <c r="C111" s="61" t="s">
        <v>1697</v>
      </c>
      <c r="D111" s="62" t="s">
        <v>5419</v>
      </c>
      <c r="E111" s="62" t="s">
        <v>5420</v>
      </c>
      <c r="F111" s="63">
        <v>9781466665880</v>
      </c>
      <c r="G111" s="63">
        <v>9781466665873</v>
      </c>
      <c r="H111" s="64" t="s">
        <v>5421</v>
      </c>
      <c r="I111" s="65">
        <v>2</v>
      </c>
      <c r="J111" s="65">
        <v>1</v>
      </c>
      <c r="K111" s="61" t="s">
        <v>5422</v>
      </c>
      <c r="L111" s="61" t="s">
        <v>561</v>
      </c>
      <c r="M111" s="66">
        <v>2015</v>
      </c>
      <c r="N111" s="87" t="str">
        <f>HYPERLINK("http://services.igi-global.com/resolvedoi/resolve.aspx?doi=10.4018/978-1-46666-587-3")</f>
        <v>http://services.igi-global.com/resolvedoi/resolve.aspx?doi=10.4018/978-1-46666-587-3</v>
      </c>
    </row>
    <row r="112" spans="1:14" s="67" customFormat="1" ht="20.100000000000001" customHeight="1">
      <c r="A112" s="60">
        <v>111</v>
      </c>
      <c r="B112" s="61" t="s">
        <v>5413</v>
      </c>
      <c r="C112" s="61" t="s">
        <v>1697</v>
      </c>
      <c r="D112" s="62" t="s">
        <v>504</v>
      </c>
      <c r="E112" s="62" t="s">
        <v>1788</v>
      </c>
      <c r="F112" s="63">
        <v>9781466666122</v>
      </c>
      <c r="G112" s="63">
        <v>9781466666115</v>
      </c>
      <c r="H112" s="64" t="s">
        <v>5423</v>
      </c>
      <c r="I112" s="65">
        <v>1</v>
      </c>
      <c r="J112" s="65">
        <v>1</v>
      </c>
      <c r="K112" s="61" t="s">
        <v>5424</v>
      </c>
      <c r="L112" s="61" t="s">
        <v>561</v>
      </c>
      <c r="M112" s="66">
        <v>2015</v>
      </c>
      <c r="N112" s="87" t="str">
        <f>HYPERLINK("http://services.igi-global.com/resolvedoi/resolve.aspx?doi=10.4018/978-1-46666-611-5")</f>
        <v>http://services.igi-global.com/resolvedoi/resolve.aspx?doi=10.4018/978-1-46666-611-5</v>
      </c>
    </row>
    <row r="113" spans="1:14" s="67" customFormat="1" ht="20.100000000000001" customHeight="1">
      <c r="A113" s="60">
        <v>112</v>
      </c>
      <c r="B113" s="61" t="s">
        <v>5413</v>
      </c>
      <c r="C113" s="61" t="s">
        <v>1697</v>
      </c>
      <c r="D113" s="62" t="s">
        <v>4443</v>
      </c>
      <c r="E113" s="62" t="s">
        <v>5425</v>
      </c>
      <c r="F113" s="63">
        <v>9781466673748</v>
      </c>
      <c r="G113" s="63">
        <v>9781466673731</v>
      </c>
      <c r="H113" s="64" t="s">
        <v>5426</v>
      </c>
      <c r="I113" s="65">
        <v>1</v>
      </c>
      <c r="J113" s="65">
        <v>1</v>
      </c>
      <c r="K113" s="61" t="s">
        <v>4836</v>
      </c>
      <c r="L113" s="61" t="s">
        <v>561</v>
      </c>
      <c r="M113" s="66">
        <v>2015</v>
      </c>
      <c r="N113" s="87" t="str">
        <f>HYPERLINK("http://services.igi-global.com/resolvedoi/resolve.aspx?doi=10.4018/978-1-46667-373-1")</f>
        <v>http://services.igi-global.com/resolvedoi/resolve.aspx?doi=10.4018/978-1-46667-373-1</v>
      </c>
    </row>
    <row r="114" spans="1:14" s="67" customFormat="1" ht="20.100000000000001" customHeight="1">
      <c r="A114" s="60">
        <v>113</v>
      </c>
      <c r="B114" s="61" t="s">
        <v>5413</v>
      </c>
      <c r="C114" s="61" t="s">
        <v>1697</v>
      </c>
      <c r="D114" s="62" t="s">
        <v>5427</v>
      </c>
      <c r="E114" s="62" t="s">
        <v>5428</v>
      </c>
      <c r="F114" s="63">
        <v>9781466674820</v>
      </c>
      <c r="G114" s="63">
        <v>9781466674813</v>
      </c>
      <c r="H114" s="64" t="s">
        <v>5429</v>
      </c>
      <c r="I114" s="65">
        <v>1</v>
      </c>
      <c r="J114" s="65">
        <v>1</v>
      </c>
      <c r="K114" s="61" t="s">
        <v>5430</v>
      </c>
      <c r="L114" s="61" t="s">
        <v>561</v>
      </c>
      <c r="M114" s="66">
        <v>2015</v>
      </c>
      <c r="N114" s="87" t="str">
        <f>HYPERLINK("http://services.igi-global.com/resolvedoi/resolve.aspx?doi=10.4018/978-1-46667-481-3")</f>
        <v>http://services.igi-global.com/resolvedoi/resolve.aspx?doi=10.4018/978-1-46667-481-3</v>
      </c>
    </row>
    <row r="115" spans="1:14" s="67" customFormat="1" ht="20.100000000000001" customHeight="1">
      <c r="A115" s="60">
        <v>114</v>
      </c>
      <c r="B115" s="61" t="s">
        <v>5413</v>
      </c>
      <c r="C115" s="61" t="s">
        <v>1697</v>
      </c>
      <c r="D115" s="62" t="s">
        <v>5414</v>
      </c>
      <c r="E115" s="62" t="s">
        <v>5415</v>
      </c>
      <c r="F115" s="63">
        <v>9781466675254</v>
      </c>
      <c r="G115" s="63">
        <v>9781466675247</v>
      </c>
      <c r="H115" s="64" t="s">
        <v>5431</v>
      </c>
      <c r="I115" s="65">
        <v>1</v>
      </c>
      <c r="J115" s="65">
        <v>1</v>
      </c>
      <c r="K115" s="61" t="s">
        <v>5432</v>
      </c>
      <c r="L115" s="61" t="s">
        <v>561</v>
      </c>
      <c r="M115" s="66">
        <v>2015</v>
      </c>
      <c r="N115" s="87" t="str">
        <f>HYPERLINK("http://services.igi-global.com/resolvedoi/resolve.aspx?doi=10.4018/978-1-46667-524-7")</f>
        <v>http://services.igi-global.com/resolvedoi/resolve.aspx?doi=10.4018/978-1-46667-524-7</v>
      </c>
    </row>
    <row r="116" spans="1:14" s="67" customFormat="1" ht="20.100000000000001" customHeight="1">
      <c r="A116" s="60">
        <v>115</v>
      </c>
      <c r="B116" s="61" t="s">
        <v>5413</v>
      </c>
      <c r="C116" s="61" t="s">
        <v>1697</v>
      </c>
      <c r="D116" s="62" t="s">
        <v>5433</v>
      </c>
      <c r="E116" s="62" t="s">
        <v>5434</v>
      </c>
      <c r="F116" s="63">
        <v>9781466682351</v>
      </c>
      <c r="G116" s="63">
        <v>9781466682344</v>
      </c>
      <c r="H116" s="64" t="s">
        <v>5435</v>
      </c>
      <c r="I116" s="65">
        <v>1</v>
      </c>
      <c r="J116" s="65">
        <v>1</v>
      </c>
      <c r="K116" s="61" t="s">
        <v>5436</v>
      </c>
      <c r="L116" s="61" t="s">
        <v>561</v>
      </c>
      <c r="M116" s="66">
        <v>2015</v>
      </c>
      <c r="N116" s="87" t="str">
        <f>HYPERLINK("http://services.igi-global.com/resolvedoi/resolve.aspx?doi=10.4018/978-1-46668-234-4")</f>
        <v>http://services.igi-global.com/resolvedoi/resolve.aspx?doi=10.4018/978-1-46668-234-4</v>
      </c>
    </row>
    <row r="117" spans="1:14" s="67" customFormat="1" ht="20.100000000000001" customHeight="1">
      <c r="A117" s="60">
        <v>116</v>
      </c>
      <c r="B117" s="61" t="s">
        <v>5413</v>
      </c>
      <c r="C117" s="61" t="s">
        <v>1697</v>
      </c>
      <c r="D117" s="62" t="s">
        <v>5437</v>
      </c>
      <c r="E117" s="62" t="s">
        <v>5438</v>
      </c>
      <c r="F117" s="63">
        <v>9781466683969</v>
      </c>
      <c r="G117" s="63">
        <v>9781466683952</v>
      </c>
      <c r="H117" s="64" t="s">
        <v>5439</v>
      </c>
      <c r="I117" s="65">
        <v>1</v>
      </c>
      <c r="J117" s="65">
        <v>1</v>
      </c>
      <c r="K117" s="61" t="s">
        <v>5440</v>
      </c>
      <c r="L117" s="61" t="s">
        <v>5441</v>
      </c>
      <c r="M117" s="66">
        <v>2015</v>
      </c>
      <c r="N117" s="87" t="str">
        <f>HYPERLINK("http://services.igi-global.com/resolvedoi/resolve.aspx?doi=10.4018/978-1-46668-395-2")</f>
        <v>http://services.igi-global.com/resolvedoi/resolve.aspx?doi=10.4018/978-1-46668-395-2</v>
      </c>
    </row>
    <row r="118" spans="1:14" s="67" customFormat="1" ht="20.100000000000001" customHeight="1">
      <c r="A118" s="60">
        <v>117</v>
      </c>
      <c r="B118" s="61" t="s">
        <v>5413</v>
      </c>
      <c r="C118" s="61" t="s">
        <v>1697</v>
      </c>
      <c r="D118" s="62" t="s">
        <v>5414</v>
      </c>
      <c r="E118" s="62" t="s">
        <v>5415</v>
      </c>
      <c r="F118" s="63">
        <v>9781466662612</v>
      </c>
      <c r="G118" s="63">
        <v>9781466662605</v>
      </c>
      <c r="H118" s="64" t="s">
        <v>5416</v>
      </c>
      <c r="I118" s="65">
        <v>1</v>
      </c>
      <c r="J118" s="65">
        <v>1</v>
      </c>
      <c r="K118" s="61" t="s">
        <v>5279</v>
      </c>
      <c r="L118" s="61" t="s">
        <v>561</v>
      </c>
      <c r="M118" s="66">
        <v>2014</v>
      </c>
      <c r="N118" s="87" t="str">
        <f>HYPERLINK("http://services.igi-global.com/resolvedoi/resolve.aspx?doi=10.4018/978-1-46666-260-5")</f>
        <v>http://services.igi-global.com/resolvedoi/resolve.aspx?doi=10.4018/978-1-46666-260-5</v>
      </c>
    </row>
    <row r="119" spans="1:14" s="67" customFormat="1" ht="20.100000000000001" customHeight="1">
      <c r="A119" s="60">
        <v>118</v>
      </c>
      <c r="B119" s="61" t="s">
        <v>5413</v>
      </c>
      <c r="C119" s="61" t="s">
        <v>1697</v>
      </c>
      <c r="D119" s="62" t="s">
        <v>5442</v>
      </c>
      <c r="E119" s="62" t="s">
        <v>5443</v>
      </c>
      <c r="F119" s="63">
        <v>9781605661254</v>
      </c>
      <c r="G119" s="63">
        <v>9781605661247</v>
      </c>
      <c r="H119" s="64" t="s">
        <v>5444</v>
      </c>
      <c r="I119" s="65">
        <v>1</v>
      </c>
      <c r="J119" s="65">
        <v>1</v>
      </c>
      <c r="K119" s="61" t="s">
        <v>5445</v>
      </c>
      <c r="L119" s="61" t="s">
        <v>561</v>
      </c>
      <c r="M119" s="66">
        <v>2010</v>
      </c>
      <c r="N119" s="87" t="str">
        <f>HYPERLINK("http://services.igi-global.com/resolvedoi/resolve.aspx?doi=10.4018/978-1-60566-124-7")</f>
        <v>http://services.igi-global.com/resolvedoi/resolve.aspx?doi=10.4018/978-1-60566-124-7</v>
      </c>
    </row>
    <row r="120" spans="1:14" s="67" customFormat="1" ht="20.100000000000001" customHeight="1">
      <c r="A120" s="60">
        <v>119</v>
      </c>
      <c r="B120" s="61" t="s">
        <v>5413</v>
      </c>
      <c r="C120" s="61" t="s">
        <v>1697</v>
      </c>
      <c r="D120" s="62" t="s">
        <v>5446</v>
      </c>
      <c r="E120" s="62" t="s">
        <v>5447</v>
      </c>
      <c r="F120" s="63">
        <v>9781605666860</v>
      </c>
      <c r="G120" s="63">
        <v>9781605666853</v>
      </c>
      <c r="H120" s="64" t="s">
        <v>5448</v>
      </c>
      <c r="I120" s="65">
        <v>1</v>
      </c>
      <c r="J120" s="65">
        <v>1</v>
      </c>
      <c r="K120" s="61" t="s">
        <v>5449</v>
      </c>
      <c r="L120" s="61" t="s">
        <v>561</v>
      </c>
      <c r="M120" s="66">
        <v>2010</v>
      </c>
      <c r="N120" s="87" t="str">
        <f>HYPERLINK("http://services.igi-global.com/resolvedoi/resolve.aspx?doi=10.4018/978-1-60566-685-3")</f>
        <v>http://services.igi-global.com/resolvedoi/resolve.aspx?doi=10.4018/978-1-60566-685-3</v>
      </c>
    </row>
    <row r="121" spans="1:14" s="67" customFormat="1" ht="20.100000000000001" customHeight="1">
      <c r="A121" s="60">
        <v>120</v>
      </c>
      <c r="B121" s="61" t="s">
        <v>571</v>
      </c>
      <c r="C121" s="61" t="s">
        <v>1669</v>
      </c>
      <c r="D121" s="62" t="s">
        <v>5569</v>
      </c>
      <c r="E121" s="62" t="s">
        <v>5570</v>
      </c>
      <c r="F121" s="63">
        <v>9781466663299</v>
      </c>
      <c r="G121" s="63">
        <v>9781466663282</v>
      </c>
      <c r="H121" s="64" t="s">
        <v>5571</v>
      </c>
      <c r="I121" s="65">
        <v>1</v>
      </c>
      <c r="J121" s="65">
        <v>1</v>
      </c>
      <c r="K121" s="61" t="s">
        <v>1413</v>
      </c>
      <c r="L121" s="61" t="s">
        <v>569</v>
      </c>
      <c r="M121" s="66">
        <v>2015</v>
      </c>
      <c r="N121" s="87" t="str">
        <f>HYPERLINK("http://services.igi-global.com/resolvedoi/resolve.aspx?doi=10.4018/978-1-46666-328-2")</f>
        <v>http://services.igi-global.com/resolvedoi/resolve.aspx?doi=10.4018/978-1-46666-328-2</v>
      </c>
    </row>
    <row r="122" spans="1:14" s="67" customFormat="1" ht="20.100000000000001" customHeight="1">
      <c r="A122" s="60">
        <v>121</v>
      </c>
      <c r="B122" s="61" t="s">
        <v>571</v>
      </c>
      <c r="C122" s="61" t="s">
        <v>1669</v>
      </c>
      <c r="D122" s="62" t="s">
        <v>565</v>
      </c>
      <c r="E122" s="62" t="s">
        <v>5576</v>
      </c>
      <c r="F122" s="63">
        <v>9781466664388</v>
      </c>
      <c r="G122" s="63">
        <v>9781466664371</v>
      </c>
      <c r="H122" s="64" t="s">
        <v>5577</v>
      </c>
      <c r="I122" s="65">
        <v>1</v>
      </c>
      <c r="J122" s="65">
        <v>1</v>
      </c>
      <c r="K122" s="61" t="s">
        <v>5578</v>
      </c>
      <c r="L122" s="61" t="s">
        <v>569</v>
      </c>
      <c r="M122" s="66">
        <v>2015</v>
      </c>
      <c r="N122" s="87" t="str">
        <f>HYPERLINK("http://services.igi-global.com/resolvedoi/resolve.aspx?doi=10.4018/978-1-46666-437-1")</f>
        <v>http://services.igi-global.com/resolvedoi/resolve.aspx?doi=10.4018/978-1-46666-437-1</v>
      </c>
    </row>
    <row r="123" spans="1:14" s="67" customFormat="1" ht="20.100000000000001" customHeight="1">
      <c r="A123" s="60">
        <v>122</v>
      </c>
      <c r="B123" s="61" t="s">
        <v>571</v>
      </c>
      <c r="C123" s="61" t="s">
        <v>1669</v>
      </c>
      <c r="D123" s="62" t="s">
        <v>490</v>
      </c>
      <c r="E123" s="62" t="s">
        <v>5579</v>
      </c>
      <c r="F123" s="63">
        <v>9781466664869</v>
      </c>
      <c r="G123" s="63">
        <v>9781466664852</v>
      </c>
      <c r="H123" s="64" t="s">
        <v>5580</v>
      </c>
      <c r="I123" s="65">
        <v>1</v>
      </c>
      <c r="J123" s="65">
        <v>1</v>
      </c>
      <c r="K123" s="61" t="s">
        <v>2573</v>
      </c>
      <c r="L123" s="61" t="s">
        <v>569</v>
      </c>
      <c r="M123" s="66">
        <v>2015</v>
      </c>
      <c r="N123" s="87" t="str">
        <f>HYPERLINK("http://services.igi-global.com/resolvedoi/resolve.aspx?doi=10.4018/978-1-46666-485-2")</f>
        <v>http://services.igi-global.com/resolvedoi/resolve.aspx?doi=10.4018/978-1-46666-485-2</v>
      </c>
    </row>
    <row r="124" spans="1:14" s="67" customFormat="1" ht="20.100000000000001" customHeight="1">
      <c r="A124" s="60">
        <v>123</v>
      </c>
      <c r="B124" s="61" t="s">
        <v>571</v>
      </c>
      <c r="C124" s="61" t="s">
        <v>1669</v>
      </c>
      <c r="D124" s="62" t="s">
        <v>1027</v>
      </c>
      <c r="E124" s="62" t="s">
        <v>5591</v>
      </c>
      <c r="F124" s="63">
        <v>9781466672314</v>
      </c>
      <c r="G124" s="63">
        <v>9781466672307</v>
      </c>
      <c r="H124" s="64" t="s">
        <v>5592</v>
      </c>
      <c r="I124" s="65">
        <v>4</v>
      </c>
      <c r="J124" s="65">
        <v>1</v>
      </c>
      <c r="K124" s="61" t="s">
        <v>1424</v>
      </c>
      <c r="L124" s="61" t="s">
        <v>569</v>
      </c>
      <c r="M124" s="66">
        <v>2015</v>
      </c>
      <c r="N124" s="87" t="str">
        <f>HYPERLINK("http://services.igi-global.com/resolvedoi/resolve.aspx?doi=10.4018/978-1-46667-230-7")</f>
        <v>http://services.igi-global.com/resolvedoi/resolve.aspx?doi=10.4018/978-1-46667-230-7</v>
      </c>
    </row>
    <row r="125" spans="1:14" s="67" customFormat="1" ht="20.100000000000001" customHeight="1">
      <c r="A125" s="60">
        <v>124</v>
      </c>
      <c r="B125" s="61" t="s">
        <v>571</v>
      </c>
      <c r="C125" s="61" t="s">
        <v>1669</v>
      </c>
      <c r="D125" s="62" t="s">
        <v>5597</v>
      </c>
      <c r="E125" s="62" t="s">
        <v>5598</v>
      </c>
      <c r="F125" s="63">
        <v>9781466673052</v>
      </c>
      <c r="G125" s="63">
        <v>9781466673045</v>
      </c>
      <c r="H125" s="64" t="s">
        <v>5599</v>
      </c>
      <c r="I125" s="65">
        <v>1</v>
      </c>
      <c r="J125" s="65">
        <v>1</v>
      </c>
      <c r="K125" s="61" t="s">
        <v>5600</v>
      </c>
      <c r="L125" s="61" t="s">
        <v>569</v>
      </c>
      <c r="M125" s="66">
        <v>2015</v>
      </c>
      <c r="N125" s="87" t="str">
        <f>HYPERLINK("http://services.igi-global.com/resolvedoi/resolve.aspx?doi=10.4018/978-1-46667-304-5")</f>
        <v>http://services.igi-global.com/resolvedoi/resolve.aspx?doi=10.4018/978-1-46667-304-5</v>
      </c>
    </row>
    <row r="126" spans="1:14" s="67" customFormat="1" ht="20.100000000000001" customHeight="1">
      <c r="A126" s="60">
        <v>125</v>
      </c>
      <c r="B126" s="61" t="s">
        <v>571</v>
      </c>
      <c r="C126" s="61" t="s">
        <v>1669</v>
      </c>
      <c r="D126" s="62" t="s">
        <v>1576</v>
      </c>
      <c r="E126" s="62" t="s">
        <v>5601</v>
      </c>
      <c r="F126" s="63">
        <v>9781466673137</v>
      </c>
      <c r="G126" s="63">
        <v>9781466673120</v>
      </c>
      <c r="H126" s="64" t="s">
        <v>5602</v>
      </c>
      <c r="I126" s="65">
        <v>1</v>
      </c>
      <c r="J126" s="65">
        <v>1</v>
      </c>
      <c r="K126" s="61" t="s">
        <v>5603</v>
      </c>
      <c r="L126" s="61" t="s">
        <v>569</v>
      </c>
      <c r="M126" s="66">
        <v>2015</v>
      </c>
      <c r="N126" s="87" t="str">
        <f>HYPERLINK("http://services.igi-global.com/resolvedoi/resolve.aspx?doi=10.4018/978-1-46667-312-0")</f>
        <v>http://services.igi-global.com/resolvedoi/resolve.aspx?doi=10.4018/978-1-46667-312-0</v>
      </c>
    </row>
    <row r="127" spans="1:14" s="67" customFormat="1" ht="20.100000000000001" customHeight="1">
      <c r="A127" s="60">
        <v>126</v>
      </c>
      <c r="B127" s="61" t="s">
        <v>571</v>
      </c>
      <c r="C127" s="61" t="s">
        <v>1669</v>
      </c>
      <c r="D127" s="62" t="s">
        <v>500</v>
      </c>
      <c r="E127" s="62" t="s">
        <v>5628</v>
      </c>
      <c r="F127" s="63">
        <v>9781466681484</v>
      </c>
      <c r="G127" s="63">
        <v>9781466681477</v>
      </c>
      <c r="H127" s="64" t="s">
        <v>5629</v>
      </c>
      <c r="I127" s="65">
        <v>1</v>
      </c>
      <c r="J127" s="65">
        <v>1</v>
      </c>
      <c r="K127" s="61" t="s">
        <v>2680</v>
      </c>
      <c r="L127" s="61" t="s">
        <v>569</v>
      </c>
      <c r="M127" s="66">
        <v>2015</v>
      </c>
      <c r="N127" s="87" t="str">
        <f>HYPERLINK("http://services.igi-global.com/resolvedoi/resolve.aspx?doi=10.4018/978-1-46668-147-7")</f>
        <v>http://services.igi-global.com/resolvedoi/resolve.aspx?doi=10.4018/978-1-46668-147-7</v>
      </c>
    </row>
    <row r="128" spans="1:14" s="67" customFormat="1" ht="20.100000000000001" customHeight="1">
      <c r="A128" s="60">
        <v>127</v>
      </c>
      <c r="B128" s="61" t="s">
        <v>571</v>
      </c>
      <c r="C128" s="61" t="s">
        <v>1669</v>
      </c>
      <c r="D128" s="62" t="s">
        <v>5190</v>
      </c>
      <c r="E128" s="62" t="s">
        <v>5634</v>
      </c>
      <c r="F128" s="63">
        <v>9781466682115</v>
      </c>
      <c r="G128" s="63">
        <v>9781466682108</v>
      </c>
      <c r="H128" s="64" t="s">
        <v>5635</v>
      </c>
      <c r="I128" s="65">
        <v>1</v>
      </c>
      <c r="J128" s="65">
        <v>1</v>
      </c>
      <c r="K128" s="61" t="s">
        <v>5636</v>
      </c>
      <c r="L128" s="61" t="s">
        <v>569</v>
      </c>
      <c r="M128" s="66">
        <v>2015</v>
      </c>
      <c r="N128" s="87" t="str">
        <f>HYPERLINK("http://services.igi-global.com/resolvedoi/resolve.aspx?doi=10.4018/978-1-46668-210-8")</f>
        <v>http://services.igi-global.com/resolvedoi/resolve.aspx?doi=10.4018/978-1-46668-210-8</v>
      </c>
    </row>
    <row r="129" spans="1:14" s="67" customFormat="1" ht="20.100000000000001" customHeight="1">
      <c r="A129" s="60">
        <v>128</v>
      </c>
      <c r="B129" s="61" t="s">
        <v>571</v>
      </c>
      <c r="C129" s="61" t="s">
        <v>1669</v>
      </c>
      <c r="D129" s="62" t="s">
        <v>5529</v>
      </c>
      <c r="E129" s="62" t="s">
        <v>5637</v>
      </c>
      <c r="F129" s="63">
        <v>9781466682146</v>
      </c>
      <c r="G129" s="63">
        <v>9781466682139</v>
      </c>
      <c r="H129" s="64" t="s">
        <v>5638</v>
      </c>
      <c r="I129" s="65">
        <v>1</v>
      </c>
      <c r="J129" s="65">
        <v>1</v>
      </c>
      <c r="K129" s="61" t="s">
        <v>937</v>
      </c>
      <c r="L129" s="61" t="s">
        <v>569</v>
      </c>
      <c r="M129" s="66">
        <v>2015</v>
      </c>
      <c r="N129" s="87" t="str">
        <f>HYPERLINK("http://services.igi-global.com/resolvedoi/resolve.aspx?doi=10.4018/978-1-46668-213-9")</f>
        <v>http://services.igi-global.com/resolvedoi/resolve.aspx?doi=10.4018/978-1-46668-213-9</v>
      </c>
    </row>
    <row r="130" spans="1:14" s="67" customFormat="1" ht="20.100000000000001" customHeight="1">
      <c r="A130" s="60">
        <v>129</v>
      </c>
      <c r="B130" s="61" t="s">
        <v>571</v>
      </c>
      <c r="C130" s="61" t="s">
        <v>1669</v>
      </c>
      <c r="D130" s="62" t="s">
        <v>5529</v>
      </c>
      <c r="E130" s="62" t="s">
        <v>5639</v>
      </c>
      <c r="F130" s="63">
        <v>9781466682269</v>
      </c>
      <c r="G130" s="63">
        <v>9781466682252</v>
      </c>
      <c r="H130" s="64" t="s">
        <v>5640</v>
      </c>
      <c r="I130" s="65">
        <v>1</v>
      </c>
      <c r="J130" s="65">
        <v>1</v>
      </c>
      <c r="K130" s="61" t="s">
        <v>5641</v>
      </c>
      <c r="L130" s="61" t="s">
        <v>569</v>
      </c>
      <c r="M130" s="66">
        <v>2015</v>
      </c>
      <c r="N130" s="87" t="str">
        <f>HYPERLINK("http://services.igi-global.com/resolvedoi/resolve.aspx?doi=10.4018/978-1-46668-225-2")</f>
        <v>http://services.igi-global.com/resolvedoi/resolve.aspx?doi=10.4018/978-1-46668-225-2</v>
      </c>
    </row>
    <row r="131" spans="1:14" s="67" customFormat="1" ht="20.100000000000001" customHeight="1">
      <c r="A131" s="60">
        <v>130</v>
      </c>
      <c r="B131" s="61" t="s">
        <v>571</v>
      </c>
      <c r="C131" s="61" t="s">
        <v>1669</v>
      </c>
      <c r="D131" s="62" t="s">
        <v>525</v>
      </c>
      <c r="E131" s="62" t="s">
        <v>5653</v>
      </c>
      <c r="F131" s="63">
        <v>9781466683723</v>
      </c>
      <c r="G131" s="63">
        <v>9781466683716</v>
      </c>
      <c r="H131" s="64" t="s">
        <v>5654</v>
      </c>
      <c r="I131" s="65">
        <v>1</v>
      </c>
      <c r="J131" s="65">
        <v>1</v>
      </c>
      <c r="K131" s="61" t="s">
        <v>5497</v>
      </c>
      <c r="L131" s="61" t="s">
        <v>568</v>
      </c>
      <c r="M131" s="66">
        <v>2015</v>
      </c>
      <c r="N131" s="87" t="str">
        <f>HYPERLINK("http://services.igi-global.com/resolvedoi/resolve.aspx?doi=10.4018/978-1-46668-371-6")</f>
        <v>http://services.igi-global.com/resolvedoi/resolve.aspx?doi=10.4018/978-1-46668-371-6</v>
      </c>
    </row>
    <row r="132" spans="1:14" s="67" customFormat="1" ht="20.100000000000001" customHeight="1">
      <c r="A132" s="60">
        <v>131</v>
      </c>
      <c r="B132" s="61" t="s">
        <v>571</v>
      </c>
      <c r="C132" s="61" t="s">
        <v>1669</v>
      </c>
      <c r="D132" s="62" t="s">
        <v>530</v>
      </c>
      <c r="E132" s="62" t="s">
        <v>5495</v>
      </c>
      <c r="F132" s="63">
        <v>9781466643062</v>
      </c>
      <c r="G132" s="63">
        <v>9781466643055</v>
      </c>
      <c r="H132" s="64" t="s">
        <v>5496</v>
      </c>
      <c r="I132" s="65">
        <v>1</v>
      </c>
      <c r="J132" s="65">
        <v>1</v>
      </c>
      <c r="K132" s="61" t="s">
        <v>5497</v>
      </c>
      <c r="L132" s="61" t="s">
        <v>569</v>
      </c>
      <c r="M132" s="66">
        <v>2014</v>
      </c>
      <c r="N132" s="87" t="str">
        <f>HYPERLINK("http://services.igi-global.com/resolvedoi/resolve.aspx?doi=10.4018/978-1-46664-305-5")</f>
        <v>http://services.igi-global.com/resolvedoi/resolve.aspx?doi=10.4018/978-1-46664-305-5</v>
      </c>
    </row>
    <row r="133" spans="1:14" s="67" customFormat="1" ht="20.100000000000001" customHeight="1">
      <c r="A133" s="60">
        <v>132</v>
      </c>
      <c r="B133" s="61" t="s">
        <v>571</v>
      </c>
      <c r="C133" s="61" t="s">
        <v>1669</v>
      </c>
      <c r="D133" s="62" t="s">
        <v>5516</v>
      </c>
      <c r="E133" s="62" t="s">
        <v>5517</v>
      </c>
      <c r="F133" s="63">
        <v>9781466649927</v>
      </c>
      <c r="G133" s="63">
        <v>9781466649910</v>
      </c>
      <c r="H133" s="64" t="s">
        <v>5518</v>
      </c>
      <c r="I133" s="65">
        <v>1</v>
      </c>
      <c r="J133" s="65">
        <v>1</v>
      </c>
      <c r="K133" s="61" t="s">
        <v>5519</v>
      </c>
      <c r="L133" s="61" t="s">
        <v>569</v>
      </c>
      <c r="M133" s="66">
        <v>2014</v>
      </c>
      <c r="N133" s="87" t="str">
        <f>HYPERLINK("http://services.igi-global.com/resolvedoi/resolve.aspx?doi=10.4018/978-1-46664-991-0")</f>
        <v>http://services.igi-global.com/resolvedoi/resolve.aspx?doi=10.4018/978-1-46664-991-0</v>
      </c>
    </row>
    <row r="134" spans="1:14" s="67" customFormat="1" ht="20.100000000000001" customHeight="1">
      <c r="A134" s="60">
        <v>133</v>
      </c>
      <c r="B134" s="61" t="s">
        <v>571</v>
      </c>
      <c r="C134" s="61" t="s">
        <v>1669</v>
      </c>
      <c r="D134" s="62" t="s">
        <v>490</v>
      </c>
      <c r="E134" s="62" t="s">
        <v>5527</v>
      </c>
      <c r="F134" s="63">
        <v>9781466651838</v>
      </c>
      <c r="G134" s="63">
        <v>9781466651821</v>
      </c>
      <c r="H134" s="64" t="s">
        <v>5528</v>
      </c>
      <c r="I134" s="65">
        <v>1</v>
      </c>
      <c r="J134" s="65">
        <v>1</v>
      </c>
      <c r="K134" s="61" t="s">
        <v>982</v>
      </c>
      <c r="L134" s="61" t="s">
        <v>569</v>
      </c>
      <c r="M134" s="66">
        <v>2014</v>
      </c>
      <c r="N134" s="87" t="str">
        <f>HYPERLINK("http://services.igi-global.com/resolvedoi/resolve.aspx?doi=10.4018/978-1-46665-182-1")</f>
        <v>http://services.igi-global.com/resolvedoi/resolve.aspx?doi=10.4018/978-1-46665-182-1</v>
      </c>
    </row>
    <row r="135" spans="1:14" s="67" customFormat="1" ht="20.100000000000001" customHeight="1">
      <c r="A135" s="60">
        <v>134</v>
      </c>
      <c r="B135" s="61" t="s">
        <v>571</v>
      </c>
      <c r="C135" s="61" t="s">
        <v>1669</v>
      </c>
      <c r="D135" s="62" t="s">
        <v>5529</v>
      </c>
      <c r="E135" s="62" t="s">
        <v>5530</v>
      </c>
      <c r="F135" s="63">
        <v>9781466657854</v>
      </c>
      <c r="G135" s="63">
        <v>9781466657847</v>
      </c>
      <c r="H135" s="64" t="s">
        <v>5531</v>
      </c>
      <c r="I135" s="65">
        <v>1</v>
      </c>
      <c r="J135" s="65">
        <v>1</v>
      </c>
      <c r="K135" s="61" t="s">
        <v>5532</v>
      </c>
      <c r="L135" s="61" t="s">
        <v>569</v>
      </c>
      <c r="M135" s="66">
        <v>2014</v>
      </c>
      <c r="N135" s="87" t="str">
        <f>HYPERLINK("http://services.igi-global.com/resolvedoi/resolve.aspx?doi=10.4018/978-1-46665-784-7")</f>
        <v>http://services.igi-global.com/resolvedoi/resolve.aspx?doi=10.4018/978-1-46665-784-7</v>
      </c>
    </row>
    <row r="136" spans="1:14" s="67" customFormat="1" ht="20.100000000000001" customHeight="1">
      <c r="A136" s="60">
        <v>135</v>
      </c>
      <c r="B136" s="61" t="s">
        <v>571</v>
      </c>
      <c r="C136" s="61" t="s">
        <v>1669</v>
      </c>
      <c r="D136" s="62" t="s">
        <v>616</v>
      </c>
      <c r="E136" s="62" t="s">
        <v>5543</v>
      </c>
      <c r="F136" s="63">
        <v>9781466660434</v>
      </c>
      <c r="G136" s="63">
        <v>9781466660427</v>
      </c>
      <c r="H136" s="64" t="s">
        <v>5544</v>
      </c>
      <c r="I136" s="65">
        <v>3</v>
      </c>
      <c r="J136" s="65">
        <v>1</v>
      </c>
      <c r="K136" s="61" t="s">
        <v>1424</v>
      </c>
      <c r="L136" s="61" t="s">
        <v>569</v>
      </c>
      <c r="M136" s="66">
        <v>2014</v>
      </c>
      <c r="N136" s="87" t="str">
        <f>HYPERLINK("http://services.igi-global.com/resolvedoi/resolve.aspx?doi=10.4018/978-1-46666-042-7")</f>
        <v>http://services.igi-global.com/resolvedoi/resolve.aspx?doi=10.4018/978-1-46666-042-7</v>
      </c>
    </row>
    <row r="137" spans="1:14" s="67" customFormat="1" ht="20.100000000000001" customHeight="1">
      <c r="A137" s="60">
        <v>136</v>
      </c>
      <c r="B137" s="61" t="s">
        <v>571</v>
      </c>
      <c r="C137" s="61" t="s">
        <v>1669</v>
      </c>
      <c r="D137" s="62" t="s">
        <v>5545</v>
      </c>
      <c r="E137" s="62" t="s">
        <v>5546</v>
      </c>
      <c r="F137" s="63">
        <v>9781466660519</v>
      </c>
      <c r="G137" s="63">
        <v>9781466660502</v>
      </c>
      <c r="H137" s="64" t="s">
        <v>5547</v>
      </c>
      <c r="I137" s="65">
        <v>1</v>
      </c>
      <c r="J137" s="65">
        <v>1</v>
      </c>
      <c r="K137" s="61" t="s">
        <v>5548</v>
      </c>
      <c r="L137" s="61" t="s">
        <v>569</v>
      </c>
      <c r="M137" s="66">
        <v>2014</v>
      </c>
      <c r="N137" s="87" t="str">
        <f>HYPERLINK("http://services.igi-global.com/resolvedoi/resolve.aspx?doi=10.4018/978-1-46666-050-2")</f>
        <v>http://services.igi-global.com/resolvedoi/resolve.aspx?doi=10.4018/978-1-46666-050-2</v>
      </c>
    </row>
    <row r="138" spans="1:14" s="67" customFormat="1" ht="20.100000000000001" customHeight="1">
      <c r="A138" s="60">
        <v>137</v>
      </c>
      <c r="B138" s="61" t="s">
        <v>571</v>
      </c>
      <c r="C138" s="61" t="s">
        <v>1669</v>
      </c>
      <c r="D138" s="62" t="s">
        <v>5549</v>
      </c>
      <c r="E138" s="62" t="s">
        <v>5550</v>
      </c>
      <c r="F138" s="63">
        <v>9781466660915</v>
      </c>
      <c r="G138" s="63">
        <v>9781466660908</v>
      </c>
      <c r="H138" s="64" t="s">
        <v>5551</v>
      </c>
      <c r="I138" s="65">
        <v>1</v>
      </c>
      <c r="J138" s="65">
        <v>1</v>
      </c>
      <c r="K138" s="61" t="s">
        <v>5552</v>
      </c>
      <c r="L138" s="61" t="s">
        <v>561</v>
      </c>
      <c r="M138" s="66">
        <v>2014</v>
      </c>
      <c r="N138" s="87" t="str">
        <f>HYPERLINK("http://services.igi-global.com/resolvedoi/resolve.aspx?doi=10.4018/978-1-46666-090-8")</f>
        <v>http://services.igi-global.com/resolvedoi/resolve.aspx?doi=10.4018/978-1-46666-090-8</v>
      </c>
    </row>
    <row r="139" spans="1:14" s="67" customFormat="1" ht="20.100000000000001" customHeight="1">
      <c r="A139" s="60">
        <v>138</v>
      </c>
      <c r="B139" s="61" t="s">
        <v>571</v>
      </c>
      <c r="C139" s="61" t="s">
        <v>1669</v>
      </c>
      <c r="D139" s="62" t="s">
        <v>1027</v>
      </c>
      <c r="E139" s="62" t="s">
        <v>5553</v>
      </c>
      <c r="F139" s="63">
        <v>9781466660991</v>
      </c>
      <c r="G139" s="63">
        <v>9781466660984</v>
      </c>
      <c r="H139" s="64" t="s">
        <v>5554</v>
      </c>
      <c r="I139" s="65">
        <v>1</v>
      </c>
      <c r="J139" s="65">
        <v>1</v>
      </c>
      <c r="K139" s="61" t="s">
        <v>2596</v>
      </c>
      <c r="L139" s="61" t="s">
        <v>569</v>
      </c>
      <c r="M139" s="66">
        <v>2014</v>
      </c>
      <c r="N139" s="87" t="str">
        <f>HYPERLINK("http://services.igi-global.com/resolvedoi/resolve.aspx?doi=10.4018/978-1-46666-098-4")</f>
        <v>http://services.igi-global.com/resolvedoi/resolve.aspx?doi=10.4018/978-1-46666-098-4</v>
      </c>
    </row>
    <row r="140" spans="1:14" s="67" customFormat="1" ht="20.100000000000001" customHeight="1">
      <c r="A140" s="60">
        <v>139</v>
      </c>
      <c r="B140" s="61" t="s">
        <v>571</v>
      </c>
      <c r="C140" s="61" t="s">
        <v>1669</v>
      </c>
      <c r="D140" s="62" t="s">
        <v>521</v>
      </c>
      <c r="E140" s="62" t="s">
        <v>5562</v>
      </c>
      <c r="F140" s="63">
        <v>9781466662292</v>
      </c>
      <c r="G140" s="63">
        <v>9781466662285</v>
      </c>
      <c r="H140" s="64" t="s">
        <v>5563</v>
      </c>
      <c r="I140" s="65">
        <v>1</v>
      </c>
      <c r="J140" s="65">
        <v>1</v>
      </c>
      <c r="K140" s="61" t="s">
        <v>5253</v>
      </c>
      <c r="L140" s="61" t="s">
        <v>569</v>
      </c>
      <c r="M140" s="66">
        <v>2014</v>
      </c>
      <c r="N140" s="87" t="str">
        <f>HYPERLINK("http://services.igi-global.com/resolvedoi/resolve.aspx?doi=10.4018/978-1-46666-228-5")</f>
        <v>http://services.igi-global.com/resolvedoi/resolve.aspx?doi=10.4018/978-1-46666-228-5</v>
      </c>
    </row>
    <row r="141" spans="1:14" s="67" customFormat="1" ht="20.100000000000001" customHeight="1">
      <c r="A141" s="60">
        <v>140</v>
      </c>
      <c r="B141" s="61" t="s">
        <v>571</v>
      </c>
      <c r="C141" s="61" t="s">
        <v>1669</v>
      </c>
      <c r="D141" s="62" t="s">
        <v>508</v>
      </c>
      <c r="E141" s="62" t="s">
        <v>5457</v>
      </c>
      <c r="F141" s="63">
        <v>9781466621916</v>
      </c>
      <c r="G141" s="63">
        <v>9781466621909</v>
      </c>
      <c r="H141" s="64" t="s">
        <v>5458</v>
      </c>
      <c r="I141" s="65">
        <v>1</v>
      </c>
      <c r="J141" s="65">
        <v>1</v>
      </c>
      <c r="K141" s="61" t="s">
        <v>5459</v>
      </c>
      <c r="L141" s="61" t="s">
        <v>569</v>
      </c>
      <c r="M141" s="66">
        <v>2013</v>
      </c>
      <c r="N141" s="87" t="str">
        <f>HYPERLINK("http://services.igi-global.com/resolvedoi/resolve.aspx?doi=10.4018/978-1-46662-190-9")</f>
        <v>http://services.igi-global.com/resolvedoi/resolve.aspx?doi=10.4018/978-1-46662-190-9</v>
      </c>
    </row>
    <row r="142" spans="1:14" s="67" customFormat="1" ht="20.100000000000001" customHeight="1">
      <c r="A142" s="60">
        <v>141</v>
      </c>
      <c r="B142" s="61" t="s">
        <v>571</v>
      </c>
      <c r="C142" s="61" t="s">
        <v>1669</v>
      </c>
      <c r="D142" s="62" t="s">
        <v>5469</v>
      </c>
      <c r="E142" s="62" t="s">
        <v>5470</v>
      </c>
      <c r="F142" s="63">
        <v>9781466624924</v>
      </c>
      <c r="G142" s="63">
        <v>9781466624917</v>
      </c>
      <c r="H142" s="64" t="s">
        <v>5471</v>
      </c>
      <c r="I142" s="65">
        <v>1</v>
      </c>
      <c r="J142" s="65">
        <v>1</v>
      </c>
      <c r="K142" s="61" t="s">
        <v>5472</v>
      </c>
      <c r="L142" s="61" t="s">
        <v>569</v>
      </c>
      <c r="M142" s="66">
        <v>2013</v>
      </c>
      <c r="N142" s="87" t="str">
        <f>HYPERLINK("http://services.igi-global.com/resolvedoi/resolve.aspx?doi=10.4018/978-1-46662-491-7")</f>
        <v>http://services.igi-global.com/resolvedoi/resolve.aspx?doi=10.4018/978-1-46662-491-7</v>
      </c>
    </row>
    <row r="143" spans="1:14" s="67" customFormat="1" ht="20.100000000000001" customHeight="1">
      <c r="A143" s="60">
        <v>142</v>
      </c>
      <c r="B143" s="61" t="s">
        <v>571</v>
      </c>
      <c r="C143" s="61" t="s">
        <v>1669</v>
      </c>
      <c r="D143" s="62" t="s">
        <v>5477</v>
      </c>
      <c r="E143" s="62" t="s">
        <v>5478</v>
      </c>
      <c r="F143" s="63">
        <v>9781466629387</v>
      </c>
      <c r="G143" s="63">
        <v>9781466629370</v>
      </c>
      <c r="H143" s="64" t="s">
        <v>5479</v>
      </c>
      <c r="I143" s="65">
        <v>1</v>
      </c>
      <c r="J143" s="65">
        <v>1</v>
      </c>
      <c r="K143" s="61" t="s">
        <v>1032</v>
      </c>
      <c r="L143" s="61" t="s">
        <v>569</v>
      </c>
      <c r="M143" s="66">
        <v>2013</v>
      </c>
      <c r="N143" s="87" t="str">
        <f>HYPERLINK("http://services.igi-global.com/resolvedoi/resolve.aspx?doi=10.4018/978-1-46662-937-0")</f>
        <v>http://services.igi-global.com/resolvedoi/resolve.aspx?doi=10.4018/978-1-46662-937-0</v>
      </c>
    </row>
    <row r="144" spans="1:14" s="67" customFormat="1" ht="20.100000000000001" customHeight="1">
      <c r="A144" s="60">
        <v>143</v>
      </c>
      <c r="B144" s="61" t="s">
        <v>571</v>
      </c>
      <c r="C144" s="61" t="s">
        <v>1669</v>
      </c>
      <c r="D144" s="62" t="s">
        <v>5480</v>
      </c>
      <c r="E144" s="62" t="s">
        <v>5481</v>
      </c>
      <c r="F144" s="63">
        <v>9781466629592</v>
      </c>
      <c r="G144" s="63">
        <v>9781466629585</v>
      </c>
      <c r="H144" s="64" t="s">
        <v>5482</v>
      </c>
      <c r="I144" s="65">
        <v>1</v>
      </c>
      <c r="J144" s="65">
        <v>1</v>
      </c>
      <c r="K144" s="61" t="s">
        <v>5483</v>
      </c>
      <c r="L144" s="61" t="s">
        <v>569</v>
      </c>
      <c r="M144" s="66">
        <v>2013</v>
      </c>
      <c r="N144" s="87" t="str">
        <f>HYPERLINK("http://services.igi-global.com/resolvedoi/resolve.aspx?doi=10.4018/978-1-46662-958-5")</f>
        <v>http://services.igi-global.com/resolvedoi/resolve.aspx?doi=10.4018/978-1-46662-958-5</v>
      </c>
    </row>
    <row r="145" spans="1:14" s="67" customFormat="1" ht="20.100000000000001" customHeight="1">
      <c r="A145" s="60">
        <v>144</v>
      </c>
      <c r="B145" s="61" t="s">
        <v>571</v>
      </c>
      <c r="C145" s="61" t="s">
        <v>1669</v>
      </c>
      <c r="D145" s="62" t="s">
        <v>5477</v>
      </c>
      <c r="E145" s="62" t="s">
        <v>5488</v>
      </c>
      <c r="F145" s="63">
        <v>9781466636804</v>
      </c>
      <c r="G145" s="63">
        <v>9781466636798</v>
      </c>
      <c r="H145" s="64" t="s">
        <v>5489</v>
      </c>
      <c r="I145" s="65">
        <v>1</v>
      </c>
      <c r="J145" s="65">
        <v>1</v>
      </c>
      <c r="K145" s="61" t="s">
        <v>5490</v>
      </c>
      <c r="L145" s="61" t="s">
        <v>569</v>
      </c>
      <c r="M145" s="66">
        <v>2013</v>
      </c>
      <c r="N145" s="87" t="str">
        <f>HYPERLINK("http://services.igi-global.com/resolvedoi/resolve.aspx?doi=10.4018/978-1-46663-679-8")</f>
        <v>http://services.igi-global.com/resolvedoi/resolve.aspx?doi=10.4018/978-1-46663-679-8</v>
      </c>
    </row>
    <row r="146" spans="1:14" s="67" customFormat="1" ht="20.100000000000001" customHeight="1">
      <c r="A146" s="60">
        <v>145</v>
      </c>
      <c r="B146" s="61" t="s">
        <v>571</v>
      </c>
      <c r="C146" s="61" t="s">
        <v>1669</v>
      </c>
      <c r="D146" s="62" t="s">
        <v>5491</v>
      </c>
      <c r="E146" s="62" t="s">
        <v>5492</v>
      </c>
      <c r="F146" s="63">
        <v>9781466641624</v>
      </c>
      <c r="G146" s="63">
        <v>9781466641617</v>
      </c>
      <c r="H146" s="64" t="s">
        <v>5493</v>
      </c>
      <c r="I146" s="65">
        <v>1</v>
      </c>
      <c r="J146" s="65">
        <v>1</v>
      </c>
      <c r="K146" s="61" t="s">
        <v>5494</v>
      </c>
      <c r="L146" s="61" t="s">
        <v>1233</v>
      </c>
      <c r="M146" s="66">
        <v>2013</v>
      </c>
      <c r="N146" s="87" t="str">
        <f>HYPERLINK("http://services.igi-global.com/resolvedoi/resolve.aspx?doi=10.4018/978-1-46664-161-7")</f>
        <v>http://services.igi-global.com/resolvedoi/resolve.aspx?doi=10.4018/978-1-46664-161-7</v>
      </c>
    </row>
    <row r="147" spans="1:14" s="67" customFormat="1" ht="20.100000000000001" customHeight="1">
      <c r="A147" s="60">
        <v>146</v>
      </c>
      <c r="B147" s="61" t="s">
        <v>571</v>
      </c>
      <c r="C147" s="61" t="s">
        <v>1669</v>
      </c>
      <c r="D147" s="62" t="s">
        <v>1425</v>
      </c>
      <c r="E147" s="62" t="s">
        <v>5451</v>
      </c>
      <c r="F147" s="63">
        <v>9781466619432</v>
      </c>
      <c r="G147" s="63">
        <v>9781466619425</v>
      </c>
      <c r="H147" s="64" t="s">
        <v>5452</v>
      </c>
      <c r="I147" s="65">
        <v>1</v>
      </c>
      <c r="J147" s="65">
        <v>1</v>
      </c>
      <c r="K147" s="61" t="s">
        <v>5453</v>
      </c>
      <c r="L147" s="61" t="s">
        <v>569</v>
      </c>
      <c r="M147" s="66">
        <v>2012</v>
      </c>
      <c r="N147" s="87" t="str">
        <f>HYPERLINK("http://services.igi-global.com/resolvedoi/resolve.aspx?doi=10.4018/978-1-46661-942-5")</f>
        <v>http://services.igi-global.com/resolvedoi/resolve.aspx?doi=10.4018/978-1-46661-942-5</v>
      </c>
    </row>
    <row r="148" spans="1:14" s="67" customFormat="1" ht="20.100000000000001" customHeight="1">
      <c r="A148" s="60">
        <v>147</v>
      </c>
      <c r="B148" s="61" t="s">
        <v>571</v>
      </c>
      <c r="C148" s="61" t="s">
        <v>1669</v>
      </c>
      <c r="D148" s="62" t="s">
        <v>5666</v>
      </c>
      <c r="E148" s="62" t="s">
        <v>5667</v>
      </c>
      <c r="F148" s="63">
        <v>9781605661933</v>
      </c>
      <c r="G148" s="63">
        <v>9781605661926</v>
      </c>
      <c r="H148" s="64" t="s">
        <v>5668</v>
      </c>
      <c r="I148" s="65">
        <v>1</v>
      </c>
      <c r="J148" s="65">
        <v>1</v>
      </c>
      <c r="K148" s="61" t="s">
        <v>5669</v>
      </c>
      <c r="L148" s="61" t="s">
        <v>569</v>
      </c>
      <c r="M148" s="66">
        <v>2010</v>
      </c>
      <c r="N148" s="87" t="str">
        <f>HYPERLINK("http://services.igi-global.com/resolvedoi/resolve.aspx?doi=10.4018/978-1-60566-192-6")</f>
        <v>http://services.igi-global.com/resolvedoi/resolve.aspx?doi=10.4018/978-1-60566-192-6</v>
      </c>
    </row>
    <row r="149" spans="1:14" s="67" customFormat="1" ht="20.100000000000001" customHeight="1">
      <c r="A149" s="60">
        <v>148</v>
      </c>
      <c r="B149" s="61" t="s">
        <v>571</v>
      </c>
      <c r="C149" s="61" t="s">
        <v>1669</v>
      </c>
      <c r="D149" s="62" t="s">
        <v>500</v>
      </c>
      <c r="E149" s="62" t="s">
        <v>5674</v>
      </c>
      <c r="F149" s="63">
        <v>9781615207046</v>
      </c>
      <c r="G149" s="63">
        <v>9781615207039</v>
      </c>
      <c r="H149" s="64" t="s">
        <v>5675</v>
      </c>
      <c r="I149" s="65">
        <v>1</v>
      </c>
      <c r="J149" s="65">
        <v>1</v>
      </c>
      <c r="K149" s="61" t="s">
        <v>5676</v>
      </c>
      <c r="L149" s="61" t="s">
        <v>569</v>
      </c>
      <c r="M149" s="66">
        <v>2010</v>
      </c>
      <c r="N149" s="87" t="str">
        <f>HYPERLINK("http://services.igi-global.com/resolvedoi/resolve.aspx?doi=10.4018/978-1-61520-703-9")</f>
        <v>http://services.igi-global.com/resolvedoi/resolve.aspx?doi=10.4018/978-1-61520-703-9</v>
      </c>
    </row>
    <row r="150" spans="1:14" s="67" customFormat="1" ht="20.100000000000001" customHeight="1">
      <c r="A150" s="60">
        <v>149</v>
      </c>
      <c r="B150" s="61" t="s">
        <v>571</v>
      </c>
      <c r="C150" s="61" t="s">
        <v>1936</v>
      </c>
      <c r="D150" s="62" t="s">
        <v>5075</v>
      </c>
      <c r="E150" s="62" t="s">
        <v>5564</v>
      </c>
      <c r="F150" s="63">
        <v>9781466663053</v>
      </c>
      <c r="G150" s="63">
        <v>9781466663046</v>
      </c>
      <c r="H150" s="64" t="s">
        <v>5565</v>
      </c>
      <c r="I150" s="65">
        <v>1</v>
      </c>
      <c r="J150" s="65">
        <v>1</v>
      </c>
      <c r="K150" s="61" t="s">
        <v>5566</v>
      </c>
      <c r="L150" s="61" t="s">
        <v>569</v>
      </c>
      <c r="M150" s="66">
        <v>2015</v>
      </c>
      <c r="N150" s="87" t="str">
        <f>HYPERLINK("http://services.igi-global.com/resolvedoi/resolve.aspx?doi=10.4018/978-1-46666-304-6")</f>
        <v>http://services.igi-global.com/resolvedoi/resolve.aspx?doi=10.4018/978-1-46666-304-6</v>
      </c>
    </row>
    <row r="151" spans="1:14" s="67" customFormat="1" ht="20.100000000000001" customHeight="1">
      <c r="A151" s="60">
        <v>150</v>
      </c>
      <c r="B151" s="61" t="s">
        <v>571</v>
      </c>
      <c r="C151" s="61" t="s">
        <v>1936</v>
      </c>
      <c r="D151" s="62" t="s">
        <v>5572</v>
      </c>
      <c r="E151" s="62" t="s">
        <v>5573</v>
      </c>
      <c r="F151" s="63">
        <v>9781466663640</v>
      </c>
      <c r="G151" s="63">
        <v>9781466663633</v>
      </c>
      <c r="H151" s="64" t="s">
        <v>5574</v>
      </c>
      <c r="I151" s="65">
        <v>1</v>
      </c>
      <c r="J151" s="65">
        <v>1</v>
      </c>
      <c r="K151" s="61" t="s">
        <v>5575</v>
      </c>
      <c r="L151" s="61" t="s">
        <v>1233</v>
      </c>
      <c r="M151" s="66">
        <v>2015</v>
      </c>
      <c r="N151" s="87" t="str">
        <f>HYPERLINK("http://services.igi-global.com/resolvedoi/resolve.aspx?doi=10.4018/978-1-46666-363-3")</f>
        <v>http://services.igi-global.com/resolvedoi/resolve.aspx?doi=10.4018/978-1-46666-363-3</v>
      </c>
    </row>
    <row r="152" spans="1:14" s="67" customFormat="1" ht="20.100000000000001" customHeight="1">
      <c r="A152" s="60">
        <v>151</v>
      </c>
      <c r="B152" s="61" t="s">
        <v>571</v>
      </c>
      <c r="C152" s="61" t="s">
        <v>1936</v>
      </c>
      <c r="D152" s="62" t="s">
        <v>4678</v>
      </c>
      <c r="E152" s="62" t="s">
        <v>5588</v>
      </c>
      <c r="F152" s="63">
        <v>9781466666283</v>
      </c>
      <c r="G152" s="63">
        <v>9781466666276</v>
      </c>
      <c r="H152" s="64" t="s">
        <v>5589</v>
      </c>
      <c r="I152" s="65">
        <v>1</v>
      </c>
      <c r="J152" s="65">
        <v>1</v>
      </c>
      <c r="K152" s="61" t="s">
        <v>5590</v>
      </c>
      <c r="L152" s="61" t="s">
        <v>1233</v>
      </c>
      <c r="M152" s="66">
        <v>2015</v>
      </c>
      <c r="N152" s="87" t="str">
        <f>HYPERLINK("http://services.igi-global.com/resolvedoi/resolve.aspx?doi=10.4018/978-1-46666-627-6")</f>
        <v>http://services.igi-global.com/resolvedoi/resolve.aspx?doi=10.4018/978-1-46666-627-6</v>
      </c>
    </row>
    <row r="153" spans="1:14" s="67" customFormat="1" ht="20.100000000000001" customHeight="1">
      <c r="A153" s="60">
        <v>152</v>
      </c>
      <c r="B153" s="61" t="s">
        <v>571</v>
      </c>
      <c r="C153" s="61" t="s">
        <v>1936</v>
      </c>
      <c r="D153" s="62" t="s">
        <v>5593</v>
      </c>
      <c r="E153" s="62" t="s">
        <v>5594</v>
      </c>
      <c r="F153" s="63">
        <v>9781466672499</v>
      </c>
      <c r="G153" s="63">
        <v>9781466672482</v>
      </c>
      <c r="H153" s="64" t="s">
        <v>5595</v>
      </c>
      <c r="I153" s="65">
        <v>1</v>
      </c>
      <c r="J153" s="65">
        <v>1</v>
      </c>
      <c r="K153" s="61" t="s">
        <v>5596</v>
      </c>
      <c r="L153" s="61" t="s">
        <v>1233</v>
      </c>
      <c r="M153" s="66">
        <v>2015</v>
      </c>
      <c r="N153" s="87" t="str">
        <f>HYPERLINK("http://services.igi-global.com/resolvedoi/resolve.aspx?doi=10.4018/978-1-46667-248-2")</f>
        <v>http://services.igi-global.com/resolvedoi/resolve.aspx?doi=10.4018/978-1-46667-248-2</v>
      </c>
    </row>
    <row r="154" spans="1:14" s="67" customFormat="1" ht="20.100000000000001" customHeight="1">
      <c r="A154" s="60">
        <v>153</v>
      </c>
      <c r="B154" s="61" t="s">
        <v>571</v>
      </c>
      <c r="C154" s="61" t="s">
        <v>1936</v>
      </c>
      <c r="D154" s="62" t="s">
        <v>127</v>
      </c>
      <c r="E154" s="62" t="s">
        <v>5608</v>
      </c>
      <c r="F154" s="63">
        <v>9781466673885</v>
      </c>
      <c r="G154" s="63">
        <v>9781466673878</v>
      </c>
      <c r="H154" s="64" t="s">
        <v>5609</v>
      </c>
      <c r="I154" s="65">
        <v>2</v>
      </c>
      <c r="J154" s="65">
        <v>1</v>
      </c>
      <c r="K154" s="61" t="s">
        <v>1970</v>
      </c>
      <c r="L154" s="61" t="s">
        <v>1233</v>
      </c>
      <c r="M154" s="66">
        <v>2015</v>
      </c>
      <c r="N154" s="87" t="str">
        <f>HYPERLINK("http://services.igi-global.com/resolvedoi/resolve.aspx?doi=10.4018/978-1-46667-387-8")</f>
        <v>http://services.igi-global.com/resolvedoi/resolve.aspx?doi=10.4018/978-1-46667-387-8</v>
      </c>
    </row>
    <row r="155" spans="1:14" s="67" customFormat="1" ht="20.100000000000001" customHeight="1">
      <c r="A155" s="60">
        <v>154</v>
      </c>
      <c r="B155" s="61" t="s">
        <v>571</v>
      </c>
      <c r="C155" s="61" t="s">
        <v>1936</v>
      </c>
      <c r="D155" s="62" t="s">
        <v>5613</v>
      </c>
      <c r="E155" s="62" t="s">
        <v>5614</v>
      </c>
      <c r="F155" s="63">
        <v>9781466674905</v>
      </c>
      <c r="G155" s="63">
        <v>9781466674899</v>
      </c>
      <c r="H155" s="64" t="s">
        <v>5615</v>
      </c>
      <c r="I155" s="65">
        <v>1</v>
      </c>
      <c r="J155" s="65">
        <v>1</v>
      </c>
      <c r="K155" s="61" t="s">
        <v>5616</v>
      </c>
      <c r="L155" s="61" t="s">
        <v>1233</v>
      </c>
      <c r="M155" s="66">
        <v>2015</v>
      </c>
      <c r="N155" s="87" t="str">
        <f>HYPERLINK("http://services.igi-global.com/resolvedoi/resolve.aspx?doi=10.4018/978-1-46667-489-9")</f>
        <v>http://services.igi-global.com/resolvedoi/resolve.aspx?doi=10.4018/978-1-46667-489-9</v>
      </c>
    </row>
    <row r="156" spans="1:14" s="67" customFormat="1" ht="20.100000000000001" customHeight="1">
      <c r="A156" s="60">
        <v>155</v>
      </c>
      <c r="B156" s="61" t="s">
        <v>571</v>
      </c>
      <c r="C156" s="61" t="s">
        <v>1936</v>
      </c>
      <c r="D156" s="62" t="s">
        <v>5613</v>
      </c>
      <c r="E156" s="62" t="s">
        <v>5617</v>
      </c>
      <c r="F156" s="63">
        <v>9781466675315</v>
      </c>
      <c r="G156" s="63">
        <v>9781466675308</v>
      </c>
      <c r="H156" s="64" t="s">
        <v>5618</v>
      </c>
      <c r="I156" s="65">
        <v>1</v>
      </c>
      <c r="J156" s="65">
        <v>1</v>
      </c>
      <c r="K156" s="61" t="s">
        <v>5619</v>
      </c>
      <c r="L156" s="61" t="s">
        <v>1233</v>
      </c>
      <c r="M156" s="66">
        <v>2015</v>
      </c>
      <c r="N156" s="87" t="str">
        <f>HYPERLINK("http://services.igi-global.com/resolvedoi/resolve.aspx?doi=10.4018/978-1-46667-530-8")</f>
        <v>http://services.igi-global.com/resolvedoi/resolve.aspx?doi=10.4018/978-1-46667-530-8</v>
      </c>
    </row>
    <row r="157" spans="1:14" s="67" customFormat="1" ht="20.100000000000001" customHeight="1">
      <c r="A157" s="60">
        <v>156</v>
      </c>
      <c r="B157" s="61" t="s">
        <v>571</v>
      </c>
      <c r="C157" s="61" t="s">
        <v>1936</v>
      </c>
      <c r="D157" s="62" t="s">
        <v>5620</v>
      </c>
      <c r="E157" s="62" t="s">
        <v>5621</v>
      </c>
      <c r="F157" s="63">
        <v>9781466681316</v>
      </c>
      <c r="G157" s="63">
        <v>9781466681309</v>
      </c>
      <c r="H157" s="64" t="s">
        <v>5622</v>
      </c>
      <c r="I157" s="65">
        <v>1</v>
      </c>
      <c r="J157" s="65">
        <v>1</v>
      </c>
      <c r="K157" s="61" t="s">
        <v>5623</v>
      </c>
      <c r="L157" s="61" t="s">
        <v>1233</v>
      </c>
      <c r="M157" s="66">
        <v>2015</v>
      </c>
      <c r="N157" s="87" t="str">
        <f>HYPERLINK("http://services.igi-global.com/resolvedoi/resolve.aspx?doi=10.4018/978-1-46668-130-9")</f>
        <v>http://services.igi-global.com/resolvedoi/resolve.aspx?doi=10.4018/978-1-46668-130-9</v>
      </c>
    </row>
    <row r="158" spans="1:14" s="67" customFormat="1" ht="20.100000000000001" customHeight="1">
      <c r="A158" s="60">
        <v>157</v>
      </c>
      <c r="B158" s="61" t="s">
        <v>571</v>
      </c>
      <c r="C158" s="61" t="s">
        <v>1936</v>
      </c>
      <c r="D158" s="62" t="s">
        <v>5624</v>
      </c>
      <c r="E158" s="62" t="s">
        <v>5625</v>
      </c>
      <c r="F158" s="63">
        <v>9781466681378</v>
      </c>
      <c r="G158" s="63">
        <v>9781466681361</v>
      </c>
      <c r="H158" s="64" t="s">
        <v>5626</v>
      </c>
      <c r="I158" s="65">
        <v>1</v>
      </c>
      <c r="J158" s="65">
        <v>1</v>
      </c>
      <c r="K158" s="61" t="s">
        <v>5627</v>
      </c>
      <c r="L158" s="61" t="s">
        <v>561</v>
      </c>
      <c r="M158" s="66">
        <v>2015</v>
      </c>
      <c r="N158" s="87" t="str">
        <f>HYPERLINK("http://services.igi-global.com/resolvedoi/resolve.aspx?doi=10.4018/978-1-46668-136-1")</f>
        <v>http://services.igi-global.com/resolvedoi/resolve.aspx?doi=10.4018/978-1-46668-136-1</v>
      </c>
    </row>
    <row r="159" spans="1:14" s="67" customFormat="1" ht="20.100000000000001" customHeight="1">
      <c r="A159" s="60">
        <v>158</v>
      </c>
      <c r="B159" s="61" t="s">
        <v>571</v>
      </c>
      <c r="C159" s="61" t="s">
        <v>1936</v>
      </c>
      <c r="D159" s="62" t="s">
        <v>420</v>
      </c>
      <c r="E159" s="62" t="s">
        <v>5630</v>
      </c>
      <c r="F159" s="63">
        <v>9781466681514</v>
      </c>
      <c r="G159" s="63">
        <v>9781466681507</v>
      </c>
      <c r="H159" s="64" t="s">
        <v>5631</v>
      </c>
      <c r="I159" s="65">
        <v>1</v>
      </c>
      <c r="J159" s="65">
        <v>1</v>
      </c>
      <c r="K159" s="61" t="s">
        <v>425</v>
      </c>
      <c r="L159" s="61" t="s">
        <v>569</v>
      </c>
      <c r="M159" s="66">
        <v>2015</v>
      </c>
      <c r="N159" s="87" t="str">
        <f>HYPERLINK("http://services.igi-global.com/resolvedoi/resolve.aspx?doi=10.4018/978-1-46668-150-7")</f>
        <v>http://services.igi-global.com/resolvedoi/resolve.aspx?doi=10.4018/978-1-46668-150-7</v>
      </c>
    </row>
    <row r="160" spans="1:14" s="67" customFormat="1" ht="20.100000000000001" customHeight="1">
      <c r="A160" s="60">
        <v>159</v>
      </c>
      <c r="B160" s="61" t="s">
        <v>571</v>
      </c>
      <c r="C160" s="61" t="s">
        <v>1936</v>
      </c>
      <c r="D160" s="62" t="s">
        <v>5645</v>
      </c>
      <c r="E160" s="62" t="s">
        <v>5646</v>
      </c>
      <c r="F160" s="63">
        <v>9781466682924</v>
      </c>
      <c r="G160" s="63">
        <v>9781466682917</v>
      </c>
      <c r="H160" s="64" t="s">
        <v>5647</v>
      </c>
      <c r="I160" s="65">
        <v>1</v>
      </c>
      <c r="J160" s="65">
        <v>1</v>
      </c>
      <c r="K160" s="61" t="s">
        <v>5648</v>
      </c>
      <c r="L160" s="61" t="s">
        <v>1233</v>
      </c>
      <c r="M160" s="66">
        <v>2015</v>
      </c>
      <c r="N160" s="87" t="str">
        <f>HYPERLINK("http://services.igi-global.com/resolvedoi/resolve.aspx?doi=10.4018/978-1-46668-291-7")</f>
        <v>http://services.igi-global.com/resolvedoi/resolve.aspx?doi=10.4018/978-1-46668-291-7</v>
      </c>
    </row>
    <row r="161" spans="1:14" s="67" customFormat="1" ht="20.100000000000001" customHeight="1">
      <c r="A161" s="60">
        <v>160</v>
      </c>
      <c r="B161" s="61" t="s">
        <v>571</v>
      </c>
      <c r="C161" s="61" t="s">
        <v>1936</v>
      </c>
      <c r="D161" s="62" t="s">
        <v>5507</v>
      </c>
      <c r="E161" s="62" t="s">
        <v>5508</v>
      </c>
      <c r="F161" s="63">
        <v>9781466646483</v>
      </c>
      <c r="G161" s="63">
        <v>9781466646476</v>
      </c>
      <c r="H161" s="64" t="s">
        <v>5509</v>
      </c>
      <c r="I161" s="65">
        <v>1</v>
      </c>
      <c r="J161" s="65">
        <v>1</v>
      </c>
      <c r="K161" s="61" t="s">
        <v>5510</v>
      </c>
      <c r="L161" s="61" t="s">
        <v>1233</v>
      </c>
      <c r="M161" s="66">
        <v>2014</v>
      </c>
      <c r="N161" s="87" t="str">
        <f>HYPERLINK("http://services.igi-global.com/resolvedoi/resolve.aspx?doi=10.4018/978-1-46664-647-6")</f>
        <v>http://services.igi-global.com/resolvedoi/resolve.aspx?doi=10.4018/978-1-46664-647-6</v>
      </c>
    </row>
    <row r="162" spans="1:14" s="67" customFormat="1" ht="20.100000000000001" customHeight="1">
      <c r="A162" s="60">
        <v>161</v>
      </c>
      <c r="B162" s="61" t="s">
        <v>571</v>
      </c>
      <c r="C162" s="61" t="s">
        <v>1936</v>
      </c>
      <c r="D162" s="62" t="s">
        <v>5536</v>
      </c>
      <c r="E162" s="62" t="s">
        <v>5537</v>
      </c>
      <c r="F162" s="63">
        <v>9781466658257</v>
      </c>
      <c r="G162" s="63">
        <v>9781466658240</v>
      </c>
      <c r="H162" s="64" t="s">
        <v>5538</v>
      </c>
      <c r="I162" s="65">
        <v>1</v>
      </c>
      <c r="J162" s="65">
        <v>1</v>
      </c>
      <c r="K162" s="61" t="s">
        <v>5539</v>
      </c>
      <c r="L162" s="61" t="s">
        <v>1233</v>
      </c>
      <c r="M162" s="66">
        <v>2014</v>
      </c>
      <c r="N162" s="87" t="str">
        <f>HYPERLINK("http://services.igi-global.com/resolvedoi/resolve.aspx?doi=10.4018/978-1-46665-824-0")</f>
        <v>http://services.igi-global.com/resolvedoi/resolve.aspx?doi=10.4018/978-1-46665-824-0</v>
      </c>
    </row>
    <row r="163" spans="1:14" s="67" customFormat="1" ht="20.100000000000001" customHeight="1">
      <c r="A163" s="60">
        <v>162</v>
      </c>
      <c r="B163" s="61" t="s">
        <v>571</v>
      </c>
      <c r="C163" s="61" t="s">
        <v>1936</v>
      </c>
      <c r="D163" s="62" t="s">
        <v>5540</v>
      </c>
      <c r="E163" s="62" t="s">
        <v>5541</v>
      </c>
      <c r="F163" s="63">
        <v>9781466658530</v>
      </c>
      <c r="G163" s="63">
        <v>9781466658523</v>
      </c>
      <c r="H163" s="64" t="s">
        <v>5542</v>
      </c>
      <c r="I163" s="65">
        <v>1</v>
      </c>
      <c r="J163" s="65">
        <v>1</v>
      </c>
      <c r="K163" s="61" t="s">
        <v>5708</v>
      </c>
      <c r="L163" s="61" t="s">
        <v>1233</v>
      </c>
      <c r="M163" s="66">
        <v>2014</v>
      </c>
      <c r="N163" s="87" t="str">
        <f>HYPERLINK("http://services.igi-global.com/resolvedoi/resolve.aspx?doi=10.4018/978-1-46665-852-3")</f>
        <v>http://services.igi-global.com/resolvedoi/resolve.aspx?doi=10.4018/978-1-46665-852-3</v>
      </c>
    </row>
    <row r="164" spans="1:14" s="67" customFormat="1" ht="20.100000000000001" customHeight="1">
      <c r="A164" s="60">
        <v>163</v>
      </c>
      <c r="B164" s="61" t="s">
        <v>571</v>
      </c>
      <c r="C164" s="61" t="s">
        <v>1936</v>
      </c>
      <c r="D164" s="62" t="s">
        <v>5670</v>
      </c>
      <c r="E164" s="62" t="s">
        <v>5671</v>
      </c>
      <c r="F164" s="63">
        <v>9781615206483</v>
      </c>
      <c r="G164" s="63">
        <v>9781615206476</v>
      </c>
      <c r="H164" s="64" t="s">
        <v>5672</v>
      </c>
      <c r="I164" s="65">
        <v>1</v>
      </c>
      <c r="J164" s="65">
        <v>1</v>
      </c>
      <c r="K164" s="61" t="s">
        <v>5673</v>
      </c>
      <c r="L164" s="61" t="s">
        <v>1233</v>
      </c>
      <c r="M164" s="66">
        <v>2010</v>
      </c>
      <c r="N164" s="87" t="str">
        <f>HYPERLINK("http://services.igi-global.com/resolvedoi/resolve.aspx?doi=10.4018/978-1-61520-647-6")</f>
        <v>http://services.igi-global.com/resolvedoi/resolve.aspx?doi=10.4018/978-1-61520-647-6</v>
      </c>
    </row>
    <row r="165" spans="1:14" s="67" customFormat="1" ht="20.100000000000001" customHeight="1">
      <c r="A165" s="60">
        <v>164</v>
      </c>
      <c r="B165" s="61" t="s">
        <v>571</v>
      </c>
      <c r="C165" s="61" t="s">
        <v>1656</v>
      </c>
      <c r="D165" s="62" t="s">
        <v>5604</v>
      </c>
      <c r="E165" s="62" t="s">
        <v>5605</v>
      </c>
      <c r="F165" s="63">
        <v>9781466673373</v>
      </c>
      <c r="G165" s="63">
        <v>9781466673366</v>
      </c>
      <c r="H165" s="64" t="s">
        <v>5606</v>
      </c>
      <c r="I165" s="65">
        <v>1</v>
      </c>
      <c r="J165" s="65">
        <v>1</v>
      </c>
      <c r="K165" s="61" t="s">
        <v>5607</v>
      </c>
      <c r="L165" s="61" t="s">
        <v>1233</v>
      </c>
      <c r="M165" s="66">
        <v>2015</v>
      </c>
      <c r="N165" s="87" t="str">
        <f>HYPERLINK("http://services.igi-global.com/resolvedoi/resolve.aspx?doi=10.4018/978-1-46667-336-6")</f>
        <v>http://services.igi-global.com/resolvedoi/resolve.aspx?doi=10.4018/978-1-46667-336-6</v>
      </c>
    </row>
    <row r="166" spans="1:14" s="67" customFormat="1" ht="20.100000000000001" customHeight="1">
      <c r="A166" s="60">
        <v>165</v>
      </c>
      <c r="B166" s="61" t="s">
        <v>571</v>
      </c>
      <c r="C166" s="61" t="s">
        <v>1656</v>
      </c>
      <c r="D166" s="62" t="s">
        <v>860</v>
      </c>
      <c r="E166" s="62" t="s">
        <v>5642</v>
      </c>
      <c r="F166" s="63">
        <v>9781466682559</v>
      </c>
      <c r="G166" s="63">
        <v>9781466682542</v>
      </c>
      <c r="H166" s="64" t="s">
        <v>5643</v>
      </c>
      <c r="I166" s="65">
        <v>1</v>
      </c>
      <c r="J166" s="65">
        <v>1</v>
      </c>
      <c r="K166" s="61" t="s">
        <v>5644</v>
      </c>
      <c r="L166" s="61" t="s">
        <v>1233</v>
      </c>
      <c r="M166" s="66">
        <v>2015</v>
      </c>
      <c r="N166" s="87" t="str">
        <f>HYPERLINK("http://services.igi-global.com/resolvedoi/resolve.aspx?doi=10.4018/978-1-46668-254-2")</f>
        <v>http://services.igi-global.com/resolvedoi/resolve.aspx?doi=10.4018/978-1-46668-254-2</v>
      </c>
    </row>
    <row r="167" spans="1:14" s="67" customFormat="1" ht="20.100000000000001" customHeight="1">
      <c r="A167" s="60">
        <v>166</v>
      </c>
      <c r="B167" s="61" t="s">
        <v>571</v>
      </c>
      <c r="C167" s="61" t="s">
        <v>1656</v>
      </c>
      <c r="D167" s="62" t="s">
        <v>5649</v>
      </c>
      <c r="E167" s="62" t="s">
        <v>5650</v>
      </c>
      <c r="F167" s="63">
        <v>9781466683341</v>
      </c>
      <c r="G167" s="63">
        <v>9781466683334</v>
      </c>
      <c r="H167" s="64" t="s">
        <v>5651</v>
      </c>
      <c r="I167" s="65">
        <v>1</v>
      </c>
      <c r="J167" s="65">
        <v>1</v>
      </c>
      <c r="K167" s="61" t="s">
        <v>5652</v>
      </c>
      <c r="L167" s="61" t="s">
        <v>1233</v>
      </c>
      <c r="M167" s="66">
        <v>2015</v>
      </c>
      <c r="N167" s="87" t="str">
        <f>HYPERLINK("http://services.igi-global.com/resolvedoi/resolve.aspx?doi=10.4018/978-1-46668-333-4")</f>
        <v>http://services.igi-global.com/resolvedoi/resolve.aspx?doi=10.4018/978-1-46668-333-4</v>
      </c>
    </row>
    <row r="168" spans="1:14" s="67" customFormat="1" ht="20.100000000000001" customHeight="1">
      <c r="A168" s="60">
        <v>167</v>
      </c>
      <c r="B168" s="61" t="s">
        <v>571</v>
      </c>
      <c r="C168" s="61" t="s">
        <v>1656</v>
      </c>
      <c r="D168" s="62" t="s">
        <v>5677</v>
      </c>
      <c r="E168" s="62" t="s">
        <v>5678</v>
      </c>
      <c r="F168" s="63">
        <v>9781616928735</v>
      </c>
      <c r="G168" s="63">
        <v>9781616928711</v>
      </c>
      <c r="H168" s="64" t="s">
        <v>5679</v>
      </c>
      <c r="I168" s="65">
        <v>1</v>
      </c>
      <c r="J168" s="65">
        <v>1</v>
      </c>
      <c r="K168" s="61" t="s">
        <v>5680</v>
      </c>
      <c r="L168" s="61" t="s">
        <v>569</v>
      </c>
      <c r="M168" s="66">
        <v>2011</v>
      </c>
      <c r="N168" s="87" t="str">
        <f>HYPERLINK("http://services.igi-global.com/resolvedoi/resolve.aspx?doi=10.4018/978-1-61692-871-1")</f>
        <v>http://services.igi-global.com/resolvedoi/resolve.aspx?doi=10.4018/978-1-61692-871-1</v>
      </c>
    </row>
    <row r="169" spans="1:14" s="67" customFormat="1" ht="20.100000000000001" customHeight="1">
      <c r="A169" s="60">
        <v>168</v>
      </c>
      <c r="B169" s="61" t="s">
        <v>571</v>
      </c>
      <c r="C169" s="61" t="s">
        <v>1732</v>
      </c>
      <c r="D169" s="62" t="s">
        <v>5581</v>
      </c>
      <c r="E169" s="62" t="s">
        <v>5582</v>
      </c>
      <c r="F169" s="63">
        <v>9781466665767</v>
      </c>
      <c r="G169" s="63">
        <v>9781466665750</v>
      </c>
      <c r="H169" s="64" t="s">
        <v>5583</v>
      </c>
      <c r="I169" s="65">
        <v>1</v>
      </c>
      <c r="J169" s="65">
        <v>1</v>
      </c>
      <c r="K169" s="61" t="s">
        <v>5584</v>
      </c>
      <c r="L169" s="61" t="s">
        <v>569</v>
      </c>
      <c r="M169" s="66">
        <v>2015</v>
      </c>
      <c r="N169" s="87" t="str">
        <f>HYPERLINK("http://services.igi-global.com/resolvedoi/resolve.aspx?doi=10.4018/978-1-46666-575-0")</f>
        <v>http://services.igi-global.com/resolvedoi/resolve.aspx?doi=10.4018/978-1-46666-575-0</v>
      </c>
    </row>
    <row r="170" spans="1:14" s="67" customFormat="1" ht="20.100000000000001" customHeight="1">
      <c r="A170" s="60">
        <v>169</v>
      </c>
      <c r="B170" s="61" t="s">
        <v>571</v>
      </c>
      <c r="C170" s="61" t="s">
        <v>1732</v>
      </c>
      <c r="D170" s="62" t="s">
        <v>690</v>
      </c>
      <c r="E170" s="62" t="s">
        <v>5610</v>
      </c>
      <c r="F170" s="63">
        <v>9781466674028</v>
      </c>
      <c r="G170" s="63">
        <v>9781466674011</v>
      </c>
      <c r="H170" s="64" t="s">
        <v>5611</v>
      </c>
      <c r="I170" s="65">
        <v>1</v>
      </c>
      <c r="J170" s="65">
        <v>1</v>
      </c>
      <c r="K170" s="61" t="s">
        <v>5612</v>
      </c>
      <c r="L170" s="61" t="s">
        <v>569</v>
      </c>
      <c r="M170" s="66">
        <v>2015</v>
      </c>
      <c r="N170" s="87" t="str">
        <f>HYPERLINK("http://services.igi-global.com/resolvedoi/resolve.aspx?doi=10.4018/978-1-46667-401-1")</f>
        <v>http://services.igi-global.com/resolvedoi/resolve.aspx?doi=10.4018/978-1-46667-401-1</v>
      </c>
    </row>
    <row r="171" spans="1:14" s="67" customFormat="1" ht="20.100000000000001" customHeight="1">
      <c r="A171" s="60">
        <v>170</v>
      </c>
      <c r="B171" s="61" t="s">
        <v>571</v>
      </c>
      <c r="C171" s="61" t="s">
        <v>1732</v>
      </c>
      <c r="D171" s="62" t="s">
        <v>150</v>
      </c>
      <c r="E171" s="62" t="s">
        <v>5632</v>
      </c>
      <c r="F171" s="63">
        <v>9781466682061</v>
      </c>
      <c r="G171" s="63">
        <v>9781466682054</v>
      </c>
      <c r="H171" s="64" t="s">
        <v>5633</v>
      </c>
      <c r="I171" s="65">
        <v>1</v>
      </c>
      <c r="J171" s="65">
        <v>1</v>
      </c>
      <c r="K171" s="61" t="s">
        <v>3606</v>
      </c>
      <c r="L171" s="61" t="s">
        <v>569</v>
      </c>
      <c r="M171" s="66">
        <v>2015</v>
      </c>
      <c r="N171" s="87" t="str">
        <f>HYPERLINK("http://services.igi-global.com/resolvedoi/resolve.aspx?doi=10.4018/978-1-46668-205-4")</f>
        <v>http://services.igi-global.com/resolvedoi/resolve.aspx?doi=10.4018/978-1-46668-205-4</v>
      </c>
    </row>
    <row r="172" spans="1:14" s="67" customFormat="1" ht="20.100000000000001" customHeight="1">
      <c r="A172" s="60">
        <v>171</v>
      </c>
      <c r="B172" s="61" t="s">
        <v>571</v>
      </c>
      <c r="C172" s="61" t="s">
        <v>1732</v>
      </c>
      <c r="D172" s="62" t="s">
        <v>5655</v>
      </c>
      <c r="E172" s="62" t="s">
        <v>5656</v>
      </c>
      <c r="F172" s="63">
        <v>9781466683853</v>
      </c>
      <c r="G172" s="63">
        <v>9781466683846</v>
      </c>
      <c r="H172" s="64" t="s">
        <v>5657</v>
      </c>
      <c r="I172" s="65">
        <v>1</v>
      </c>
      <c r="J172" s="65">
        <v>1</v>
      </c>
      <c r="K172" s="61" t="s">
        <v>5658</v>
      </c>
      <c r="L172" s="61" t="s">
        <v>569</v>
      </c>
      <c r="M172" s="66">
        <v>2015</v>
      </c>
      <c r="N172" s="87" t="str">
        <f>HYPERLINK("http://services.igi-global.com/resolvedoi/resolve.aspx?doi=10.4018/978-1-46668-384-6")</f>
        <v>http://services.igi-global.com/resolvedoi/resolve.aspx?doi=10.4018/978-1-46668-384-6</v>
      </c>
    </row>
    <row r="173" spans="1:14" s="67" customFormat="1" ht="20.100000000000001" customHeight="1">
      <c r="A173" s="60">
        <v>172</v>
      </c>
      <c r="B173" s="61" t="s">
        <v>571</v>
      </c>
      <c r="C173" s="61" t="s">
        <v>1732</v>
      </c>
      <c r="D173" s="62" t="s">
        <v>5498</v>
      </c>
      <c r="E173" s="62" t="s">
        <v>5499</v>
      </c>
      <c r="F173" s="63">
        <v>9781466643468</v>
      </c>
      <c r="G173" s="63">
        <v>9781466643451</v>
      </c>
      <c r="H173" s="64" t="s">
        <v>5500</v>
      </c>
      <c r="I173" s="65">
        <v>1</v>
      </c>
      <c r="J173" s="65">
        <v>1</v>
      </c>
      <c r="K173" s="61" t="s">
        <v>2933</v>
      </c>
      <c r="L173" s="61" t="s">
        <v>569</v>
      </c>
      <c r="M173" s="66">
        <v>2014</v>
      </c>
      <c r="N173" s="87" t="str">
        <f>HYPERLINK("http://services.igi-global.com/resolvedoi/resolve.aspx?doi=10.4018/978-1-46664-345-1")</f>
        <v>http://services.igi-global.com/resolvedoi/resolve.aspx?doi=10.4018/978-1-46664-345-1</v>
      </c>
    </row>
    <row r="174" spans="1:14" s="67" customFormat="1" ht="20.100000000000001" customHeight="1">
      <c r="A174" s="60">
        <v>173</v>
      </c>
      <c r="B174" s="61" t="s">
        <v>571</v>
      </c>
      <c r="C174" s="61" t="s">
        <v>1732</v>
      </c>
      <c r="D174" s="62" t="s">
        <v>5504</v>
      </c>
      <c r="E174" s="62" t="s">
        <v>5505</v>
      </c>
      <c r="F174" s="63">
        <v>9781466646285</v>
      </c>
      <c r="G174" s="63">
        <v>9781466646278</v>
      </c>
      <c r="H174" s="64" t="s">
        <v>5506</v>
      </c>
      <c r="I174" s="65">
        <v>1</v>
      </c>
      <c r="J174" s="65">
        <v>1</v>
      </c>
      <c r="K174" s="61" t="s">
        <v>1617</v>
      </c>
      <c r="L174" s="61" t="s">
        <v>569</v>
      </c>
      <c r="M174" s="66">
        <v>2014</v>
      </c>
      <c r="N174" s="87" t="str">
        <f>HYPERLINK("http://services.igi-global.com/resolvedoi/resolve.aspx?doi=10.4018/978-1-46664-627-8")</f>
        <v>http://services.igi-global.com/resolvedoi/resolve.aspx?doi=10.4018/978-1-46664-627-8</v>
      </c>
    </row>
    <row r="175" spans="1:14" s="67" customFormat="1" ht="20.100000000000001" customHeight="1">
      <c r="A175" s="60">
        <v>174</v>
      </c>
      <c r="B175" s="61" t="s">
        <v>571</v>
      </c>
      <c r="C175" s="61" t="s">
        <v>1732</v>
      </c>
      <c r="D175" s="62" t="s">
        <v>5520</v>
      </c>
      <c r="E175" s="62" t="s">
        <v>5521</v>
      </c>
      <c r="F175" s="63">
        <v>9781466650046</v>
      </c>
      <c r="G175" s="63">
        <v>9781466650039</v>
      </c>
      <c r="H175" s="64" t="s">
        <v>5522</v>
      </c>
      <c r="I175" s="65">
        <v>1</v>
      </c>
      <c r="J175" s="65">
        <v>1</v>
      </c>
      <c r="K175" s="61" t="s">
        <v>5523</v>
      </c>
      <c r="L175" s="61" t="s">
        <v>569</v>
      </c>
      <c r="M175" s="66">
        <v>2014</v>
      </c>
      <c r="N175" s="87" t="str">
        <f>HYPERLINK("http://services.igi-global.com/resolvedoi/resolve.aspx?doi=10.4018/978-1-46665-003-9")</f>
        <v>http://services.igi-global.com/resolvedoi/resolve.aspx?doi=10.4018/978-1-46665-003-9</v>
      </c>
    </row>
    <row r="176" spans="1:14" s="67" customFormat="1" ht="20.100000000000001" customHeight="1">
      <c r="A176" s="60">
        <v>175</v>
      </c>
      <c r="B176" s="61" t="s">
        <v>571</v>
      </c>
      <c r="C176" s="61" t="s">
        <v>1732</v>
      </c>
      <c r="D176" s="62" t="s">
        <v>150</v>
      </c>
      <c r="E176" s="62" t="s">
        <v>5524</v>
      </c>
      <c r="F176" s="63">
        <v>9781466650367</v>
      </c>
      <c r="G176" s="63">
        <v>9781466650350</v>
      </c>
      <c r="H176" s="64" t="s">
        <v>5525</v>
      </c>
      <c r="I176" s="65">
        <v>1</v>
      </c>
      <c r="J176" s="65">
        <v>1</v>
      </c>
      <c r="K176" s="61" t="s">
        <v>5526</v>
      </c>
      <c r="L176" s="61" t="s">
        <v>569</v>
      </c>
      <c r="M176" s="66">
        <v>2014</v>
      </c>
      <c r="N176" s="87" t="str">
        <f>HYPERLINK("http://services.igi-global.com/resolvedoi/resolve.aspx?doi=10.4018/978-1-46665-035-0")</f>
        <v>http://services.igi-global.com/resolvedoi/resolve.aspx?doi=10.4018/978-1-46665-035-0</v>
      </c>
    </row>
    <row r="177" spans="1:14" s="67" customFormat="1" ht="20.100000000000001" customHeight="1">
      <c r="A177" s="60">
        <v>176</v>
      </c>
      <c r="B177" s="61" t="s">
        <v>571</v>
      </c>
      <c r="C177" s="61" t="s">
        <v>1732</v>
      </c>
      <c r="D177" s="62" t="s">
        <v>508</v>
      </c>
      <c r="E177" s="62" t="s">
        <v>5559</v>
      </c>
      <c r="F177" s="63">
        <v>9781466661677</v>
      </c>
      <c r="G177" s="63">
        <v>9781466661660</v>
      </c>
      <c r="H177" s="64" t="s">
        <v>5560</v>
      </c>
      <c r="I177" s="65">
        <v>1</v>
      </c>
      <c r="J177" s="65">
        <v>1</v>
      </c>
      <c r="K177" s="61" t="s">
        <v>5561</v>
      </c>
      <c r="L177" s="61" t="s">
        <v>569</v>
      </c>
      <c r="M177" s="66">
        <v>2014</v>
      </c>
      <c r="N177" s="87" t="str">
        <f>HYPERLINK("http://services.igi-global.com/resolvedoi/resolve.aspx?doi=10.4018/978-1-46666-166-0")</f>
        <v>http://services.igi-global.com/resolvedoi/resolve.aspx?doi=10.4018/978-1-46666-166-0</v>
      </c>
    </row>
    <row r="178" spans="1:14" s="67" customFormat="1" ht="20.100000000000001" customHeight="1">
      <c r="A178" s="60">
        <v>177</v>
      </c>
      <c r="B178" s="61" t="s">
        <v>571</v>
      </c>
      <c r="C178" s="61" t="s">
        <v>1732</v>
      </c>
      <c r="D178" s="62" t="s">
        <v>5454</v>
      </c>
      <c r="E178" s="62" t="s">
        <v>5455</v>
      </c>
      <c r="F178" s="63">
        <v>9781466619821</v>
      </c>
      <c r="G178" s="63">
        <v>9781466619814</v>
      </c>
      <c r="H178" s="64" t="s">
        <v>5456</v>
      </c>
      <c r="I178" s="65">
        <v>1</v>
      </c>
      <c r="J178" s="65">
        <v>1</v>
      </c>
      <c r="K178" s="61" t="s">
        <v>578</v>
      </c>
      <c r="L178" s="61" t="s">
        <v>569</v>
      </c>
      <c r="M178" s="66">
        <v>2013</v>
      </c>
      <c r="N178" s="87" t="str">
        <f>HYPERLINK("http://services.igi-global.com/resolvedoi/resolve.aspx?doi=10.4018/978-1-46661-981-4")</f>
        <v>http://services.igi-global.com/resolvedoi/resolve.aspx?doi=10.4018/978-1-46661-981-4</v>
      </c>
    </row>
    <row r="179" spans="1:14" s="67" customFormat="1" ht="20.100000000000001" customHeight="1">
      <c r="A179" s="60">
        <v>178</v>
      </c>
      <c r="B179" s="61" t="s">
        <v>571</v>
      </c>
      <c r="C179" s="61" t="s">
        <v>1732</v>
      </c>
      <c r="D179" s="62" t="s">
        <v>2042</v>
      </c>
      <c r="E179" s="62" t="s">
        <v>5460</v>
      </c>
      <c r="F179" s="63">
        <v>9781466622098</v>
      </c>
      <c r="G179" s="63">
        <v>9781466622081</v>
      </c>
      <c r="H179" s="64" t="s">
        <v>5461</v>
      </c>
      <c r="I179" s="65">
        <v>1</v>
      </c>
      <c r="J179" s="65">
        <v>1</v>
      </c>
      <c r="K179" s="61" t="s">
        <v>5462</v>
      </c>
      <c r="L179" s="61" t="s">
        <v>569</v>
      </c>
      <c r="M179" s="66">
        <v>2013</v>
      </c>
      <c r="N179" s="87" t="str">
        <f>HYPERLINK("http://services.igi-global.com/resolvedoi/resolve.aspx?doi=10.4018/978-1-46662-208-1")</f>
        <v>http://services.igi-global.com/resolvedoi/resolve.aspx?doi=10.4018/978-1-46662-208-1</v>
      </c>
    </row>
    <row r="180" spans="1:14" s="67" customFormat="1" ht="20.100000000000001" customHeight="1">
      <c r="A180" s="60">
        <v>179</v>
      </c>
      <c r="B180" s="61" t="s">
        <v>571</v>
      </c>
      <c r="C180" s="61" t="s">
        <v>1732</v>
      </c>
      <c r="D180" s="62" t="s">
        <v>330</v>
      </c>
      <c r="E180" s="62" t="s">
        <v>5463</v>
      </c>
      <c r="F180" s="63">
        <v>9781466622241</v>
      </c>
      <c r="G180" s="63">
        <v>9781466622234</v>
      </c>
      <c r="H180" s="64" t="s">
        <v>5464</v>
      </c>
      <c r="I180" s="65">
        <v>1</v>
      </c>
      <c r="J180" s="65">
        <v>1</v>
      </c>
      <c r="K180" s="61" t="s">
        <v>5465</v>
      </c>
      <c r="L180" s="61" t="s">
        <v>569</v>
      </c>
      <c r="M180" s="66">
        <v>2013</v>
      </c>
      <c r="N180" s="87" t="str">
        <f>HYPERLINK("http://services.igi-global.com/resolvedoi/resolve.aspx?doi=10.4018/978-1-46662-223-4")</f>
        <v>http://services.igi-global.com/resolvedoi/resolve.aspx?doi=10.4018/978-1-46662-223-4</v>
      </c>
    </row>
    <row r="181" spans="1:14" s="67" customFormat="1" ht="20.100000000000001" customHeight="1">
      <c r="A181" s="60">
        <v>180</v>
      </c>
      <c r="B181" s="61" t="s">
        <v>571</v>
      </c>
      <c r="C181" s="61" t="s">
        <v>1732</v>
      </c>
      <c r="D181" s="62" t="s">
        <v>5473</v>
      </c>
      <c r="E181" s="62" t="s">
        <v>5474</v>
      </c>
      <c r="F181" s="63">
        <v>9781466624986</v>
      </c>
      <c r="G181" s="63">
        <v>9781466624979</v>
      </c>
      <c r="H181" s="64" t="s">
        <v>5475</v>
      </c>
      <c r="I181" s="65">
        <v>1</v>
      </c>
      <c r="J181" s="65">
        <v>1</v>
      </c>
      <c r="K181" s="61" t="s">
        <v>5476</v>
      </c>
      <c r="L181" s="61" t="s">
        <v>569</v>
      </c>
      <c r="M181" s="66">
        <v>2013</v>
      </c>
      <c r="N181" s="87" t="str">
        <f>HYPERLINK("http://services.igi-global.com/resolvedoi/resolve.aspx?doi=10.4018/978-1-46662-497-9")</f>
        <v>http://services.igi-global.com/resolvedoi/resolve.aspx?doi=10.4018/978-1-46662-497-9</v>
      </c>
    </row>
    <row r="182" spans="1:14" s="67" customFormat="1" ht="20.100000000000001" customHeight="1">
      <c r="A182" s="60">
        <v>181</v>
      </c>
      <c r="B182" s="61" t="s">
        <v>571</v>
      </c>
      <c r="C182" s="61" t="s">
        <v>1732</v>
      </c>
      <c r="D182" s="62" t="s">
        <v>723</v>
      </c>
      <c r="E182" s="62" t="s">
        <v>724</v>
      </c>
      <c r="F182" s="63">
        <v>9781466600300</v>
      </c>
      <c r="G182" s="63">
        <v>9781466600294</v>
      </c>
      <c r="H182" s="64" t="s">
        <v>5450</v>
      </c>
      <c r="I182" s="65">
        <v>1</v>
      </c>
      <c r="J182" s="65">
        <v>1</v>
      </c>
      <c r="K182" s="61" t="s">
        <v>2933</v>
      </c>
      <c r="L182" s="61" t="s">
        <v>1798</v>
      </c>
      <c r="M182" s="66">
        <v>2012</v>
      </c>
      <c r="N182" s="87" t="str">
        <f>HYPERLINK("http://services.igi-global.com/resolvedoi/resolve.aspx?doi=10.4018/978-1-46660-029-4")</f>
        <v>http://services.igi-global.com/resolvedoi/resolve.aspx?doi=10.4018/978-1-46660-029-4</v>
      </c>
    </row>
    <row r="183" spans="1:14" s="67" customFormat="1" ht="20.100000000000001" customHeight="1">
      <c r="A183" s="60">
        <v>182</v>
      </c>
      <c r="B183" s="61" t="s">
        <v>571</v>
      </c>
      <c r="C183" s="61" t="s">
        <v>1732</v>
      </c>
      <c r="D183" s="62" t="s">
        <v>5681</v>
      </c>
      <c r="E183" s="62" t="s">
        <v>5682</v>
      </c>
      <c r="F183" s="63">
        <v>9781616929008</v>
      </c>
      <c r="G183" s="63">
        <v>9781616928988</v>
      </c>
      <c r="H183" s="64" t="s">
        <v>5683</v>
      </c>
      <c r="I183" s="65">
        <v>1</v>
      </c>
      <c r="J183" s="65">
        <v>1</v>
      </c>
      <c r="K183" s="61" t="s">
        <v>5684</v>
      </c>
      <c r="L183" s="61" t="s">
        <v>569</v>
      </c>
      <c r="M183" s="66">
        <v>2011</v>
      </c>
      <c r="N183" s="87" t="str">
        <f>HYPERLINK("http://services.igi-global.com/resolvedoi/resolve.aspx?doi=10.4018/978-1-61692-898-8")</f>
        <v>http://services.igi-global.com/resolvedoi/resolve.aspx?doi=10.4018/978-1-61692-898-8</v>
      </c>
    </row>
    <row r="184" spans="1:14" s="67" customFormat="1" ht="20.100000000000001" customHeight="1">
      <c r="A184" s="60">
        <v>183</v>
      </c>
      <c r="B184" s="61" t="s">
        <v>571</v>
      </c>
      <c r="C184" s="61" t="s">
        <v>5555</v>
      </c>
      <c r="D184" s="62" t="s">
        <v>5556</v>
      </c>
      <c r="E184" s="62" t="s">
        <v>5557</v>
      </c>
      <c r="F184" s="63">
        <v>9781466661158</v>
      </c>
      <c r="G184" s="63">
        <v>9781466661141</v>
      </c>
      <c r="H184" s="64" t="s">
        <v>5558</v>
      </c>
      <c r="I184" s="65">
        <v>3</v>
      </c>
      <c r="J184" s="65">
        <v>1</v>
      </c>
      <c r="K184" s="61" t="s">
        <v>1424</v>
      </c>
      <c r="L184" s="61" t="s">
        <v>569</v>
      </c>
      <c r="M184" s="66">
        <v>2014</v>
      </c>
      <c r="N184" s="87" t="str">
        <f>HYPERLINK("http://services.igi-global.com/resolvedoi/resolve.aspx?doi=10.4018/978-1-46666-114-1")</f>
        <v>http://services.igi-global.com/resolvedoi/resolve.aspx?doi=10.4018/978-1-46666-114-1</v>
      </c>
    </row>
    <row r="185" spans="1:14" s="67" customFormat="1" ht="20.100000000000001" customHeight="1">
      <c r="A185" s="60">
        <v>184</v>
      </c>
      <c r="B185" s="61" t="s">
        <v>571</v>
      </c>
      <c r="C185" s="61" t="s">
        <v>1680</v>
      </c>
      <c r="D185" s="62" t="s">
        <v>513</v>
      </c>
      <c r="E185" s="62" t="s">
        <v>5567</v>
      </c>
      <c r="F185" s="63">
        <v>9781466663251</v>
      </c>
      <c r="G185" s="63">
        <v>9781466663244</v>
      </c>
      <c r="H185" s="64" t="s">
        <v>5568</v>
      </c>
      <c r="I185" s="65">
        <v>1</v>
      </c>
      <c r="J185" s="65">
        <v>1</v>
      </c>
      <c r="K185" s="61" t="s">
        <v>579</v>
      </c>
      <c r="L185" s="61" t="s">
        <v>569</v>
      </c>
      <c r="M185" s="66">
        <v>2015</v>
      </c>
      <c r="N185" s="87" t="str">
        <f>HYPERLINK("http://services.igi-global.com/resolvedoi/resolve.aspx?doi=10.4018/978-1-46666-324-4")</f>
        <v>http://services.igi-global.com/resolvedoi/resolve.aspx?doi=10.4018/978-1-46666-324-4</v>
      </c>
    </row>
    <row r="186" spans="1:14" s="67" customFormat="1" ht="20.100000000000001" customHeight="1">
      <c r="A186" s="60">
        <v>185</v>
      </c>
      <c r="B186" s="61" t="s">
        <v>571</v>
      </c>
      <c r="C186" s="61" t="s">
        <v>1680</v>
      </c>
      <c r="D186" s="62" t="s">
        <v>513</v>
      </c>
      <c r="E186" s="62" t="s">
        <v>5585</v>
      </c>
      <c r="F186" s="63">
        <v>9781466665842</v>
      </c>
      <c r="G186" s="63">
        <v>9781466665835</v>
      </c>
      <c r="H186" s="64" t="s">
        <v>5586</v>
      </c>
      <c r="I186" s="65">
        <v>1</v>
      </c>
      <c r="J186" s="65">
        <v>1</v>
      </c>
      <c r="K186" s="61" t="s">
        <v>5587</v>
      </c>
      <c r="L186" s="61" t="s">
        <v>569</v>
      </c>
      <c r="M186" s="66">
        <v>2015</v>
      </c>
      <c r="N186" s="87" t="str">
        <f>HYPERLINK("http://services.igi-global.com/resolvedoi/resolve.aspx?doi=10.4018/978-1-46666-583-5")</f>
        <v>http://services.igi-global.com/resolvedoi/resolve.aspx?doi=10.4018/978-1-46666-583-5</v>
      </c>
    </row>
    <row r="187" spans="1:14" s="67" customFormat="1" ht="20.100000000000001" customHeight="1">
      <c r="A187" s="60">
        <v>186</v>
      </c>
      <c r="B187" s="61" t="s">
        <v>571</v>
      </c>
      <c r="C187" s="61" t="s">
        <v>1680</v>
      </c>
      <c r="D187" s="62" t="s">
        <v>5529</v>
      </c>
      <c r="E187" s="62" t="s">
        <v>5659</v>
      </c>
      <c r="F187" s="63">
        <v>9781466683884</v>
      </c>
      <c r="G187" s="63">
        <v>9781466683877</v>
      </c>
      <c r="H187" s="64" t="s">
        <v>5660</v>
      </c>
      <c r="I187" s="65">
        <v>1</v>
      </c>
      <c r="J187" s="65">
        <v>1</v>
      </c>
      <c r="K187" s="61" t="s">
        <v>5661</v>
      </c>
      <c r="L187" s="61" t="s">
        <v>569</v>
      </c>
      <c r="M187" s="66">
        <v>2015</v>
      </c>
      <c r="N187" s="87" t="str">
        <f>HYPERLINK("http://services.igi-global.com/resolvedoi/resolve.aspx?doi=10.4018/978-1-46668-387-7")</f>
        <v>http://services.igi-global.com/resolvedoi/resolve.aspx?doi=10.4018/978-1-46668-387-7</v>
      </c>
    </row>
    <row r="188" spans="1:14" s="67" customFormat="1" ht="20.100000000000001" customHeight="1">
      <c r="A188" s="60">
        <v>187</v>
      </c>
      <c r="B188" s="61" t="s">
        <v>571</v>
      </c>
      <c r="C188" s="61" t="s">
        <v>1680</v>
      </c>
      <c r="D188" s="62" t="s">
        <v>5662</v>
      </c>
      <c r="E188" s="62" t="s">
        <v>5663</v>
      </c>
      <c r="F188" s="63">
        <v>9781466684577</v>
      </c>
      <c r="G188" s="63">
        <v>9781466684560</v>
      </c>
      <c r="H188" s="64" t="s">
        <v>5664</v>
      </c>
      <c r="I188" s="65">
        <v>1</v>
      </c>
      <c r="J188" s="65">
        <v>1</v>
      </c>
      <c r="K188" s="61" t="s">
        <v>5665</v>
      </c>
      <c r="L188" s="61" t="s">
        <v>569</v>
      </c>
      <c r="M188" s="66">
        <v>2015</v>
      </c>
      <c r="N188" s="87" t="str">
        <f>HYPERLINK("http://services.igi-global.com/resolvedoi/resolve.aspx?doi=10.4018/978-1-46668-456-0")</f>
        <v>http://services.igi-global.com/resolvedoi/resolve.aspx?doi=10.4018/978-1-46668-456-0</v>
      </c>
    </row>
    <row r="189" spans="1:14" s="67" customFormat="1" ht="20.100000000000001" customHeight="1">
      <c r="A189" s="60">
        <v>188</v>
      </c>
      <c r="B189" s="61" t="s">
        <v>571</v>
      </c>
      <c r="C189" s="61" t="s">
        <v>1680</v>
      </c>
      <c r="D189" s="62" t="s">
        <v>5466</v>
      </c>
      <c r="E189" s="62" t="s">
        <v>5501</v>
      </c>
      <c r="F189" s="63">
        <v>9781466645158</v>
      </c>
      <c r="G189" s="63">
        <v>9781466645141</v>
      </c>
      <c r="H189" s="64" t="s">
        <v>5502</v>
      </c>
      <c r="I189" s="65">
        <v>1</v>
      </c>
      <c r="J189" s="65">
        <v>1</v>
      </c>
      <c r="K189" s="61" t="s">
        <v>5503</v>
      </c>
      <c r="L189" s="61" t="s">
        <v>569</v>
      </c>
      <c r="M189" s="66">
        <v>2014</v>
      </c>
      <c r="N189" s="87" t="str">
        <f>HYPERLINK("http://services.igi-global.com/resolvedoi/resolve.aspx?doi=10.4018/978-1-46664-514-1")</f>
        <v>http://services.igi-global.com/resolvedoi/resolve.aspx?doi=10.4018/978-1-46664-514-1</v>
      </c>
    </row>
    <row r="190" spans="1:14" s="67" customFormat="1" ht="20.100000000000001" customHeight="1">
      <c r="A190" s="60">
        <v>189</v>
      </c>
      <c r="B190" s="61" t="s">
        <v>571</v>
      </c>
      <c r="C190" s="61" t="s">
        <v>1680</v>
      </c>
      <c r="D190" s="62" t="s">
        <v>5466</v>
      </c>
      <c r="E190" s="62" t="s">
        <v>5511</v>
      </c>
      <c r="F190" s="63">
        <v>9781466646926</v>
      </c>
      <c r="G190" s="63">
        <v>9781466646919</v>
      </c>
      <c r="H190" s="64" t="s">
        <v>5512</v>
      </c>
      <c r="I190" s="65">
        <v>1</v>
      </c>
      <c r="J190" s="65">
        <v>1</v>
      </c>
      <c r="K190" s="61" t="s">
        <v>5513</v>
      </c>
      <c r="L190" s="61" t="s">
        <v>569</v>
      </c>
      <c r="M190" s="66">
        <v>2014</v>
      </c>
      <c r="N190" s="87" t="str">
        <f>HYPERLINK("http://services.igi-global.com/resolvedoi/resolve.aspx?doi=10.4018/978-1-46664-691-9")</f>
        <v>http://services.igi-global.com/resolvedoi/resolve.aspx?doi=10.4018/978-1-46664-691-9</v>
      </c>
    </row>
    <row r="191" spans="1:14" s="67" customFormat="1" ht="20.100000000000001" customHeight="1">
      <c r="A191" s="60">
        <v>190</v>
      </c>
      <c r="B191" s="61" t="s">
        <v>571</v>
      </c>
      <c r="C191" s="61" t="s">
        <v>1680</v>
      </c>
      <c r="D191" s="62" t="s">
        <v>5466</v>
      </c>
      <c r="E191" s="62" t="s">
        <v>5514</v>
      </c>
      <c r="F191" s="63">
        <v>9781466648579</v>
      </c>
      <c r="G191" s="63">
        <v>9781466648562</v>
      </c>
      <c r="H191" s="64" t="s">
        <v>5515</v>
      </c>
      <c r="I191" s="65">
        <v>1</v>
      </c>
      <c r="J191" s="65">
        <v>1</v>
      </c>
      <c r="K191" s="61" t="s">
        <v>1228</v>
      </c>
      <c r="L191" s="61" t="s">
        <v>569</v>
      </c>
      <c r="M191" s="66">
        <v>2014</v>
      </c>
      <c r="N191" s="87" t="str">
        <f>HYPERLINK("http://services.igi-global.com/resolvedoi/resolve.aspx?doi=10.4018/978-1-46664-856-2")</f>
        <v>http://services.igi-global.com/resolvedoi/resolve.aspx?doi=10.4018/978-1-46664-856-2</v>
      </c>
    </row>
    <row r="192" spans="1:14" s="67" customFormat="1" ht="20.100000000000001" customHeight="1">
      <c r="A192" s="60">
        <v>191</v>
      </c>
      <c r="B192" s="61" t="s">
        <v>571</v>
      </c>
      <c r="C192" s="61" t="s">
        <v>1680</v>
      </c>
      <c r="D192" s="62" t="s">
        <v>4586</v>
      </c>
      <c r="E192" s="62" t="s">
        <v>5533</v>
      </c>
      <c r="F192" s="63">
        <v>9781466658097</v>
      </c>
      <c r="G192" s="63">
        <v>9781466658080</v>
      </c>
      <c r="H192" s="64" t="s">
        <v>5534</v>
      </c>
      <c r="I192" s="65">
        <v>1</v>
      </c>
      <c r="J192" s="65">
        <v>1</v>
      </c>
      <c r="K192" s="61" t="s">
        <v>5535</v>
      </c>
      <c r="L192" s="61" t="s">
        <v>569</v>
      </c>
      <c r="M192" s="66">
        <v>2014</v>
      </c>
      <c r="N192" s="87" t="str">
        <f>HYPERLINK("http://services.igi-global.com/resolvedoi/resolve.aspx?doi=10.4018/978-1-46665-808-0")</f>
        <v>http://services.igi-global.com/resolvedoi/resolve.aspx?doi=10.4018/978-1-46665-808-0</v>
      </c>
    </row>
    <row r="193" spans="1:14" s="67" customFormat="1" ht="20.100000000000001" customHeight="1">
      <c r="A193" s="60">
        <v>192</v>
      </c>
      <c r="B193" s="61" t="s">
        <v>571</v>
      </c>
      <c r="C193" s="61" t="s">
        <v>1680</v>
      </c>
      <c r="D193" s="62" t="s">
        <v>5466</v>
      </c>
      <c r="E193" s="62" t="s">
        <v>5467</v>
      </c>
      <c r="F193" s="63">
        <v>9781466624832</v>
      </c>
      <c r="G193" s="63">
        <v>9781466624825</v>
      </c>
      <c r="H193" s="64" t="s">
        <v>5468</v>
      </c>
      <c r="I193" s="65">
        <v>1</v>
      </c>
      <c r="J193" s="65">
        <v>1</v>
      </c>
      <c r="K193" s="61" t="s">
        <v>1392</v>
      </c>
      <c r="L193" s="61" t="s">
        <v>569</v>
      </c>
      <c r="M193" s="66">
        <v>2013</v>
      </c>
      <c r="N193" s="87" t="str">
        <f>HYPERLINK("http://services.igi-global.com/resolvedoi/resolve.aspx?doi=10.4018/978-1-46662-482-5")</f>
        <v>http://services.igi-global.com/resolvedoi/resolve.aspx?doi=10.4018/978-1-46662-482-5</v>
      </c>
    </row>
    <row r="194" spans="1:14" s="67" customFormat="1" ht="20.100000000000001" customHeight="1">
      <c r="A194" s="60">
        <v>193</v>
      </c>
      <c r="B194" s="61" t="s">
        <v>571</v>
      </c>
      <c r="C194" s="61" t="s">
        <v>1680</v>
      </c>
      <c r="D194" s="62" t="s">
        <v>5484</v>
      </c>
      <c r="E194" s="62" t="s">
        <v>5485</v>
      </c>
      <c r="F194" s="63">
        <v>9781466629653</v>
      </c>
      <c r="G194" s="63">
        <v>9781466629646</v>
      </c>
      <c r="H194" s="64" t="s">
        <v>5486</v>
      </c>
      <c r="I194" s="65">
        <v>1</v>
      </c>
      <c r="J194" s="65">
        <v>1</v>
      </c>
      <c r="K194" s="61" t="s">
        <v>5487</v>
      </c>
      <c r="L194" s="61" t="s">
        <v>569</v>
      </c>
      <c r="M194" s="66">
        <v>2013</v>
      </c>
      <c r="N194" s="87" t="str">
        <f>HYPERLINK("http://services.igi-global.com/resolvedoi/resolve.aspx?doi=10.4018/978-1-46662-964-6")</f>
        <v>http://services.igi-global.com/resolvedoi/resolve.aspx?doi=10.4018/978-1-46662-964-6</v>
      </c>
    </row>
    <row r="195" spans="1:14" s="73" customFormat="1" ht="15.6">
      <c r="A195" s="68">
        <v>1</v>
      </c>
      <c r="B195" s="69" t="s">
        <v>5071</v>
      </c>
      <c r="C195" s="70" t="s">
        <v>1643</v>
      </c>
      <c r="D195" s="86" t="s">
        <v>5685</v>
      </c>
      <c r="E195" s="86" t="s">
        <v>5686</v>
      </c>
      <c r="F195" s="71">
        <v>9781466645394</v>
      </c>
      <c r="G195" s="71">
        <v>9781466645387</v>
      </c>
      <c r="H195" s="72" t="s">
        <v>5687</v>
      </c>
      <c r="I195" s="68">
        <v>1</v>
      </c>
      <c r="J195" s="68">
        <v>1</v>
      </c>
      <c r="K195" s="70" t="s">
        <v>5688</v>
      </c>
      <c r="L195" s="70" t="s">
        <v>569</v>
      </c>
      <c r="M195" s="68">
        <v>2014</v>
      </c>
      <c r="N195" s="88" t="s">
        <v>5689</v>
      </c>
    </row>
    <row r="196" spans="1:14" s="73" customFormat="1" ht="15.6">
      <c r="A196" s="68">
        <v>2</v>
      </c>
      <c r="B196" s="69" t="s">
        <v>5071</v>
      </c>
      <c r="C196" s="70" t="s">
        <v>1643</v>
      </c>
      <c r="D196" s="86" t="s">
        <v>5690</v>
      </c>
      <c r="E196" s="86" t="s">
        <v>5691</v>
      </c>
      <c r="F196" s="71">
        <v>9781613501788</v>
      </c>
      <c r="G196" s="71">
        <v>9781613501771</v>
      </c>
      <c r="H196" s="72" t="s">
        <v>5692</v>
      </c>
      <c r="I196" s="68">
        <v>1</v>
      </c>
      <c r="J196" s="68">
        <v>1</v>
      </c>
      <c r="K196" s="70" t="s">
        <v>5693</v>
      </c>
      <c r="L196" s="70" t="s">
        <v>569</v>
      </c>
      <c r="M196" s="68">
        <v>2012</v>
      </c>
      <c r="N196" s="88" t="s">
        <v>5694</v>
      </c>
    </row>
    <row r="197" spans="1:14" ht="20.100000000000001" hidden="1" customHeight="1">
      <c r="A197" s="74"/>
      <c r="B197" s="75"/>
      <c r="C197" s="75"/>
      <c r="D197" s="76"/>
      <c r="E197" s="76"/>
      <c r="F197" s="77"/>
      <c r="G197" s="77"/>
      <c r="H197" s="78" t="s">
        <v>5709</v>
      </c>
      <c r="I197" s="79">
        <f>SUM(I2:I194)</f>
        <v>204</v>
      </c>
      <c r="J197" s="79"/>
      <c r="K197" s="75"/>
      <c r="L197" s="75"/>
      <c r="M197" s="80"/>
      <c r="N197" s="89"/>
    </row>
  </sheetData>
  <phoneticPr fontId="3" type="noConversion"/>
  <conditionalFormatting sqref="H2:H196">
    <cfRule type="duplicateValues" dxfId="125" priority="1"/>
  </conditionalFormatting>
  <hyperlinks>
    <hyperlink ref="N195" r:id="rId1" xr:uid="{00000000-0004-0000-0400-000000000000}"/>
    <hyperlink ref="N196" r:id="rId2" xr:uid="{00000000-0004-0000-0400-000001000000}"/>
  </hyperlinks>
  <pageMargins left="0.7" right="0.7" top="0.75" bottom="0.75" header="0.3" footer="0.3"/>
  <pageSetup paperSize="9" orientation="portrait"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30"/>
  <sheetViews>
    <sheetView topLeftCell="C87" workbookViewId="0">
      <selection activeCell="C1" sqref="C1"/>
    </sheetView>
  </sheetViews>
  <sheetFormatPr defaultColWidth="8.88671875" defaultRowHeight="15.6"/>
  <cols>
    <col min="1" max="1" width="7.33203125" style="116" hidden="1" customWidth="1"/>
    <col min="2" max="2" width="11" style="116" hidden="1" customWidth="1"/>
    <col min="3" max="3" width="30.77734375" style="116" customWidth="1"/>
    <col min="4" max="4" width="18.44140625" style="119" hidden="1" customWidth="1"/>
    <col min="5" max="5" width="14" style="119" hidden="1" customWidth="1"/>
    <col min="6" max="6" width="18.88671875" style="116" hidden="1" customWidth="1"/>
    <col min="7" max="7" width="12.21875" style="116" hidden="1" customWidth="1"/>
    <col min="8" max="8" width="80.77734375" style="116" customWidth="1"/>
    <col min="9" max="10" width="7.33203125" style="116" hidden="1" customWidth="1"/>
    <col min="11" max="11" width="10.77734375" style="116" customWidth="1"/>
    <col min="12" max="12" width="9.44140625" style="116" hidden="1" customWidth="1"/>
    <col min="13" max="13" width="9.44140625" style="85" customWidth="1"/>
    <col min="14" max="14" width="86.77734375" style="90" bestFit="1" customWidth="1"/>
    <col min="15" max="15" width="0" style="112" hidden="1" customWidth="1"/>
    <col min="16" max="16384" width="8.88671875" style="116"/>
  </cols>
  <sheetData>
    <row r="1" spans="1:15" s="96" customFormat="1" ht="19.95" customHeight="1">
      <c r="A1" s="92" t="s">
        <v>5711</v>
      </c>
      <c r="B1" s="66" t="s">
        <v>5712</v>
      </c>
      <c r="C1" s="66" t="s">
        <v>5713</v>
      </c>
      <c r="D1" s="93" t="s">
        <v>5698</v>
      </c>
      <c r="E1" s="93" t="s">
        <v>5699</v>
      </c>
      <c r="F1" s="93" t="s">
        <v>5714</v>
      </c>
      <c r="G1" s="93" t="s">
        <v>5715</v>
      </c>
      <c r="H1" s="66" t="s">
        <v>5716</v>
      </c>
      <c r="I1" s="66" t="s">
        <v>5717</v>
      </c>
      <c r="J1" s="66" t="s">
        <v>5718</v>
      </c>
      <c r="K1" s="94" t="s">
        <v>5719</v>
      </c>
      <c r="L1" s="66" t="s">
        <v>5720</v>
      </c>
      <c r="M1" s="94" t="s">
        <v>5721</v>
      </c>
      <c r="N1" s="95" t="s">
        <v>5722</v>
      </c>
      <c r="O1" s="95" t="s">
        <v>5723</v>
      </c>
    </row>
    <row r="2" spans="1:15" s="104" customFormat="1" ht="19.95" customHeight="1">
      <c r="A2" s="97">
        <v>6</v>
      </c>
      <c r="B2" s="98" t="s">
        <v>5071</v>
      </c>
      <c r="C2" s="98" t="s">
        <v>1636</v>
      </c>
      <c r="D2" s="99" t="s">
        <v>1864</v>
      </c>
      <c r="E2" s="99" t="s">
        <v>5724</v>
      </c>
      <c r="F2" s="100" t="s">
        <v>5725</v>
      </c>
      <c r="G2" s="100" t="s">
        <v>5726</v>
      </c>
      <c r="H2" s="101" t="s">
        <v>5727</v>
      </c>
      <c r="I2" s="98">
        <v>1</v>
      </c>
      <c r="J2" s="98">
        <v>1</v>
      </c>
      <c r="K2" s="99" t="s">
        <v>5728</v>
      </c>
      <c r="L2" s="98" t="s">
        <v>568</v>
      </c>
      <c r="M2" s="66">
        <v>2015</v>
      </c>
      <c r="N2" s="102" t="s">
        <v>5729</v>
      </c>
      <c r="O2" s="103"/>
    </row>
    <row r="3" spans="1:15" s="104" customFormat="1" ht="19.95" customHeight="1">
      <c r="A3" s="97">
        <v>16</v>
      </c>
      <c r="B3" s="98" t="s">
        <v>5071</v>
      </c>
      <c r="C3" s="98" t="s">
        <v>1636</v>
      </c>
      <c r="D3" s="99" t="s">
        <v>1853</v>
      </c>
      <c r="E3" s="99" t="s">
        <v>5730</v>
      </c>
      <c r="F3" s="100" t="s">
        <v>5731</v>
      </c>
      <c r="G3" s="100" t="s">
        <v>5732</v>
      </c>
      <c r="H3" s="101" t="s">
        <v>5733</v>
      </c>
      <c r="I3" s="98">
        <v>1</v>
      </c>
      <c r="J3" s="98">
        <v>1</v>
      </c>
      <c r="K3" s="99" t="s">
        <v>5734</v>
      </c>
      <c r="L3" s="98" t="s">
        <v>568</v>
      </c>
      <c r="M3" s="66">
        <v>2015</v>
      </c>
      <c r="N3" s="102" t="s">
        <v>5735</v>
      </c>
      <c r="O3" s="103"/>
    </row>
    <row r="4" spans="1:15" s="104" customFormat="1" ht="19.95" customHeight="1">
      <c r="A4" s="97">
        <v>21</v>
      </c>
      <c r="B4" s="98" t="s">
        <v>5071</v>
      </c>
      <c r="C4" s="98" t="s">
        <v>1636</v>
      </c>
      <c r="D4" s="99" t="s">
        <v>5736</v>
      </c>
      <c r="E4" s="99" t="s">
        <v>5737</v>
      </c>
      <c r="F4" s="100" t="s">
        <v>5738</v>
      </c>
      <c r="G4" s="100" t="s">
        <v>5739</v>
      </c>
      <c r="H4" s="101" t="s">
        <v>5740</v>
      </c>
      <c r="I4" s="98">
        <v>1</v>
      </c>
      <c r="J4" s="98">
        <v>1</v>
      </c>
      <c r="K4" s="99" t="s">
        <v>5741</v>
      </c>
      <c r="L4" s="98" t="s">
        <v>568</v>
      </c>
      <c r="M4" s="66">
        <v>2015</v>
      </c>
      <c r="N4" s="102" t="s">
        <v>5742</v>
      </c>
      <c r="O4" s="103"/>
    </row>
    <row r="5" spans="1:15" s="104" customFormat="1" ht="19.95" customHeight="1">
      <c r="A5" s="97">
        <v>22</v>
      </c>
      <c r="B5" s="98" t="s">
        <v>5071</v>
      </c>
      <c r="C5" s="98" t="s">
        <v>1636</v>
      </c>
      <c r="D5" s="99" t="s">
        <v>5743</v>
      </c>
      <c r="E5" s="99" t="s">
        <v>5744</v>
      </c>
      <c r="F5" s="100" t="s">
        <v>5745</v>
      </c>
      <c r="G5" s="100" t="s">
        <v>5746</v>
      </c>
      <c r="H5" s="101" t="s">
        <v>5747</v>
      </c>
      <c r="I5" s="98">
        <v>1</v>
      </c>
      <c r="J5" s="98">
        <v>1</v>
      </c>
      <c r="K5" s="99" t="s">
        <v>5748</v>
      </c>
      <c r="L5" s="98" t="s">
        <v>568</v>
      </c>
      <c r="M5" s="66">
        <v>2015</v>
      </c>
      <c r="N5" s="102" t="s">
        <v>5749</v>
      </c>
      <c r="O5" s="103"/>
    </row>
    <row r="6" spans="1:15" s="104" customFormat="1" ht="19.95" customHeight="1">
      <c r="A6" s="97">
        <v>24</v>
      </c>
      <c r="B6" s="98" t="s">
        <v>5071</v>
      </c>
      <c r="C6" s="98" t="s">
        <v>1636</v>
      </c>
      <c r="D6" s="99" t="s">
        <v>5750</v>
      </c>
      <c r="E6" s="99" t="s">
        <v>5751</v>
      </c>
      <c r="F6" s="100" t="s">
        <v>5752</v>
      </c>
      <c r="G6" s="100" t="s">
        <v>5753</v>
      </c>
      <c r="H6" s="101" t="s">
        <v>5754</v>
      </c>
      <c r="I6" s="98">
        <v>1</v>
      </c>
      <c r="J6" s="98">
        <v>1</v>
      </c>
      <c r="K6" s="99" t="s">
        <v>161</v>
      </c>
      <c r="L6" s="98" t="s">
        <v>568</v>
      </c>
      <c r="M6" s="66">
        <v>2015</v>
      </c>
      <c r="N6" s="102" t="s">
        <v>5755</v>
      </c>
      <c r="O6" s="103"/>
    </row>
    <row r="7" spans="1:15" s="104" customFormat="1" ht="19.95" customHeight="1">
      <c r="A7" s="97">
        <v>27</v>
      </c>
      <c r="B7" s="98" t="s">
        <v>5071</v>
      </c>
      <c r="C7" s="98" t="s">
        <v>1636</v>
      </c>
      <c r="D7" s="99" t="s">
        <v>5756</v>
      </c>
      <c r="E7" s="99" t="s">
        <v>5757</v>
      </c>
      <c r="F7" s="100" t="s">
        <v>5758</v>
      </c>
      <c r="G7" s="100" t="s">
        <v>5759</v>
      </c>
      <c r="H7" s="101" t="s">
        <v>5760</v>
      </c>
      <c r="I7" s="98">
        <v>1</v>
      </c>
      <c r="J7" s="98">
        <v>1</v>
      </c>
      <c r="K7" s="99" t="s">
        <v>5761</v>
      </c>
      <c r="L7" s="98" t="s">
        <v>569</v>
      </c>
      <c r="M7" s="66">
        <v>2015</v>
      </c>
      <c r="N7" s="102" t="s">
        <v>5762</v>
      </c>
      <c r="O7" s="103"/>
    </row>
    <row r="8" spans="1:15" s="104" customFormat="1" ht="19.95" customHeight="1">
      <c r="A8" s="97">
        <v>32</v>
      </c>
      <c r="B8" s="98" t="s">
        <v>5071</v>
      </c>
      <c r="C8" s="98" t="s">
        <v>1636</v>
      </c>
      <c r="D8" s="99" t="s">
        <v>1954</v>
      </c>
      <c r="E8" s="99" t="s">
        <v>5763</v>
      </c>
      <c r="F8" s="100" t="s">
        <v>5764</v>
      </c>
      <c r="G8" s="100" t="s">
        <v>5765</v>
      </c>
      <c r="H8" s="101" t="s">
        <v>5766</v>
      </c>
      <c r="I8" s="98">
        <v>1</v>
      </c>
      <c r="J8" s="98">
        <v>1</v>
      </c>
      <c r="K8" s="99" t="s">
        <v>1419</v>
      </c>
      <c r="L8" s="98" t="s">
        <v>569</v>
      </c>
      <c r="M8" s="66">
        <v>2015</v>
      </c>
      <c r="N8" s="102" t="s">
        <v>5767</v>
      </c>
      <c r="O8" s="103"/>
    </row>
    <row r="9" spans="1:15" s="104" customFormat="1" ht="19.95" customHeight="1">
      <c r="A9" s="105">
        <v>3</v>
      </c>
      <c r="B9" s="106" t="s">
        <v>5071</v>
      </c>
      <c r="C9" s="106" t="s">
        <v>1636</v>
      </c>
      <c r="D9" s="107" t="s">
        <v>5768</v>
      </c>
      <c r="E9" s="106" t="s">
        <v>5769</v>
      </c>
      <c r="F9" s="107" t="s">
        <v>5770</v>
      </c>
      <c r="G9" s="108">
        <v>9781466675339</v>
      </c>
      <c r="H9" s="108" t="s">
        <v>5771</v>
      </c>
      <c r="I9" s="109">
        <v>1</v>
      </c>
      <c r="J9" s="109">
        <v>1</v>
      </c>
      <c r="K9" s="106" t="s">
        <v>5772</v>
      </c>
      <c r="L9" s="106" t="s">
        <v>568</v>
      </c>
      <c r="M9" s="110">
        <v>2015</v>
      </c>
      <c r="N9" s="111" t="s">
        <v>5773</v>
      </c>
      <c r="O9" s="112" t="s">
        <v>5774</v>
      </c>
    </row>
    <row r="10" spans="1:15" s="104" customFormat="1" ht="19.95" customHeight="1">
      <c r="A10" s="105">
        <v>6</v>
      </c>
      <c r="B10" s="106" t="s">
        <v>5071</v>
      </c>
      <c r="C10" s="106" t="s">
        <v>1636</v>
      </c>
      <c r="D10" s="107" t="s">
        <v>5775</v>
      </c>
      <c r="E10" s="106" t="s">
        <v>5776</v>
      </c>
      <c r="F10" s="107" t="s">
        <v>5777</v>
      </c>
      <c r="G10" s="108">
        <v>9781466672888</v>
      </c>
      <c r="H10" s="108" t="s">
        <v>5778</v>
      </c>
      <c r="I10" s="109">
        <v>1</v>
      </c>
      <c r="J10" s="109">
        <v>1</v>
      </c>
      <c r="K10" s="113" t="s">
        <v>5779</v>
      </c>
      <c r="L10" s="106" t="s">
        <v>568</v>
      </c>
      <c r="M10" s="110">
        <v>2015</v>
      </c>
      <c r="N10" s="111" t="s">
        <v>5780</v>
      </c>
      <c r="O10" s="112" t="s">
        <v>5774</v>
      </c>
    </row>
    <row r="11" spans="1:15" s="104" customFormat="1" ht="19.95" customHeight="1">
      <c r="A11" s="97">
        <v>4</v>
      </c>
      <c r="B11" s="98" t="s">
        <v>5071</v>
      </c>
      <c r="C11" s="98" t="s">
        <v>1636</v>
      </c>
      <c r="D11" s="99" t="s">
        <v>5781</v>
      </c>
      <c r="E11" s="99" t="s">
        <v>5782</v>
      </c>
      <c r="F11" s="100" t="s">
        <v>5783</v>
      </c>
      <c r="G11" s="100" t="s">
        <v>5784</v>
      </c>
      <c r="H11" s="101" t="s">
        <v>5785</v>
      </c>
      <c r="I11" s="98">
        <v>1</v>
      </c>
      <c r="J11" s="98">
        <v>1</v>
      </c>
      <c r="K11" s="99" t="s">
        <v>5786</v>
      </c>
      <c r="L11" s="98" t="s">
        <v>568</v>
      </c>
      <c r="M11" s="66">
        <v>2014</v>
      </c>
      <c r="N11" s="102" t="s">
        <v>5787</v>
      </c>
      <c r="O11" s="103"/>
    </row>
    <row r="12" spans="1:15" s="104" customFormat="1" ht="19.95" customHeight="1">
      <c r="A12" s="97">
        <v>31</v>
      </c>
      <c r="B12" s="98" t="s">
        <v>5071</v>
      </c>
      <c r="C12" s="98" t="s">
        <v>1628</v>
      </c>
      <c r="D12" s="99" t="s">
        <v>2696</v>
      </c>
      <c r="E12" s="99" t="s">
        <v>5788</v>
      </c>
      <c r="F12" s="100" t="s">
        <v>5789</v>
      </c>
      <c r="G12" s="100" t="s">
        <v>5790</v>
      </c>
      <c r="H12" s="101" t="s">
        <v>5791</v>
      </c>
      <c r="I12" s="98">
        <v>1</v>
      </c>
      <c r="J12" s="98">
        <v>1</v>
      </c>
      <c r="K12" s="99" t="s">
        <v>5792</v>
      </c>
      <c r="L12" s="98" t="s">
        <v>568</v>
      </c>
      <c r="M12" s="66">
        <v>2014</v>
      </c>
      <c r="N12" s="102" t="s">
        <v>5793</v>
      </c>
      <c r="O12" s="103"/>
    </row>
    <row r="13" spans="1:15" s="104" customFormat="1" ht="19.95" customHeight="1">
      <c r="A13" s="97">
        <v>3</v>
      </c>
      <c r="B13" s="98" t="s">
        <v>5071</v>
      </c>
      <c r="C13" s="98" t="s">
        <v>5794</v>
      </c>
      <c r="D13" s="99" t="s">
        <v>5795</v>
      </c>
      <c r="E13" s="99" t="s">
        <v>5796</v>
      </c>
      <c r="F13" s="100" t="s">
        <v>5797</v>
      </c>
      <c r="G13" s="100" t="s">
        <v>5798</v>
      </c>
      <c r="H13" s="101" t="s">
        <v>5799</v>
      </c>
      <c r="I13" s="98">
        <v>1</v>
      </c>
      <c r="J13" s="98">
        <v>1</v>
      </c>
      <c r="K13" s="99" t="s">
        <v>5800</v>
      </c>
      <c r="L13" s="98" t="s">
        <v>568</v>
      </c>
      <c r="M13" s="66">
        <v>2016</v>
      </c>
      <c r="N13" s="102" t="s">
        <v>5801</v>
      </c>
      <c r="O13" s="103"/>
    </row>
    <row r="14" spans="1:15" s="104" customFormat="1" ht="19.95" customHeight="1">
      <c r="A14" s="97">
        <v>5</v>
      </c>
      <c r="B14" s="98" t="s">
        <v>5071</v>
      </c>
      <c r="C14" s="98" t="s">
        <v>5794</v>
      </c>
      <c r="D14" s="99" t="s">
        <v>564</v>
      </c>
      <c r="E14" s="99" t="s">
        <v>5802</v>
      </c>
      <c r="F14" s="100" t="s">
        <v>5803</v>
      </c>
      <c r="G14" s="100" t="s">
        <v>5804</v>
      </c>
      <c r="H14" s="101" t="s">
        <v>5805</v>
      </c>
      <c r="I14" s="98">
        <v>1</v>
      </c>
      <c r="J14" s="98">
        <v>1</v>
      </c>
      <c r="K14" s="99" t="s">
        <v>5806</v>
      </c>
      <c r="L14" s="98" t="s">
        <v>568</v>
      </c>
      <c r="M14" s="66">
        <v>2016</v>
      </c>
      <c r="N14" s="102" t="s">
        <v>5807</v>
      </c>
      <c r="O14" s="103"/>
    </row>
    <row r="15" spans="1:15" s="104" customFormat="1" ht="19.95" customHeight="1">
      <c r="A15" s="97">
        <v>8</v>
      </c>
      <c r="B15" s="98" t="s">
        <v>5071</v>
      </c>
      <c r="C15" s="98" t="s">
        <v>5794</v>
      </c>
      <c r="D15" s="99" t="s">
        <v>489</v>
      </c>
      <c r="E15" s="99" t="s">
        <v>5808</v>
      </c>
      <c r="F15" s="100" t="s">
        <v>5809</v>
      </c>
      <c r="G15" s="100" t="s">
        <v>5810</v>
      </c>
      <c r="H15" s="101" t="s">
        <v>5811</v>
      </c>
      <c r="I15" s="98">
        <v>1</v>
      </c>
      <c r="J15" s="98">
        <v>1</v>
      </c>
      <c r="K15" s="99" t="s">
        <v>5224</v>
      </c>
      <c r="L15" s="98" t="s">
        <v>568</v>
      </c>
      <c r="M15" s="66">
        <v>2016</v>
      </c>
      <c r="N15" s="102" t="s">
        <v>5812</v>
      </c>
      <c r="O15" s="103"/>
    </row>
    <row r="16" spans="1:15" s="104" customFormat="1" ht="19.95" customHeight="1">
      <c r="A16" s="97">
        <v>12</v>
      </c>
      <c r="B16" s="98" t="s">
        <v>5071</v>
      </c>
      <c r="C16" s="98" t="s">
        <v>5794</v>
      </c>
      <c r="D16" s="99" t="s">
        <v>515</v>
      </c>
      <c r="E16" s="99" t="s">
        <v>5813</v>
      </c>
      <c r="F16" s="100" t="s">
        <v>5814</v>
      </c>
      <c r="G16" s="100" t="s">
        <v>5815</v>
      </c>
      <c r="H16" s="101" t="s">
        <v>5816</v>
      </c>
      <c r="I16" s="98">
        <v>1</v>
      </c>
      <c r="J16" s="98">
        <v>1</v>
      </c>
      <c r="K16" s="99" t="s">
        <v>5817</v>
      </c>
      <c r="L16" s="98" t="s">
        <v>568</v>
      </c>
      <c r="M16" s="66">
        <v>2016</v>
      </c>
      <c r="N16" s="102" t="s">
        <v>5818</v>
      </c>
      <c r="O16" s="103"/>
    </row>
    <row r="17" spans="1:15" s="104" customFormat="1" ht="19.95" customHeight="1">
      <c r="A17" s="97">
        <v>17</v>
      </c>
      <c r="B17" s="98" t="s">
        <v>5071</v>
      </c>
      <c r="C17" s="98" t="s">
        <v>5794</v>
      </c>
      <c r="D17" s="99" t="s">
        <v>5819</v>
      </c>
      <c r="E17" s="99" t="s">
        <v>5820</v>
      </c>
      <c r="F17" s="100" t="s">
        <v>5821</v>
      </c>
      <c r="G17" s="100" t="s">
        <v>5822</v>
      </c>
      <c r="H17" s="101" t="s">
        <v>5823</v>
      </c>
      <c r="I17" s="98">
        <v>1</v>
      </c>
      <c r="J17" s="98">
        <v>1</v>
      </c>
      <c r="K17" s="99" t="s">
        <v>5824</v>
      </c>
      <c r="L17" s="98" t="s">
        <v>568</v>
      </c>
      <c r="M17" s="66">
        <v>2016</v>
      </c>
      <c r="N17" s="102" t="s">
        <v>5825</v>
      </c>
      <c r="O17" s="103"/>
    </row>
    <row r="18" spans="1:15" s="104" customFormat="1" ht="19.95" customHeight="1">
      <c r="A18" s="97">
        <v>26</v>
      </c>
      <c r="B18" s="98" t="s">
        <v>5071</v>
      </c>
      <c r="C18" s="98" t="s">
        <v>5794</v>
      </c>
      <c r="D18" s="99" t="s">
        <v>492</v>
      </c>
      <c r="E18" s="99" t="s">
        <v>5826</v>
      </c>
      <c r="F18" s="100" t="s">
        <v>5827</v>
      </c>
      <c r="G18" s="100" t="s">
        <v>5828</v>
      </c>
      <c r="H18" s="101" t="s">
        <v>5829</v>
      </c>
      <c r="I18" s="98">
        <v>1</v>
      </c>
      <c r="J18" s="98">
        <v>1</v>
      </c>
      <c r="K18" s="99" t="s">
        <v>161</v>
      </c>
      <c r="L18" s="98" t="s">
        <v>568</v>
      </c>
      <c r="M18" s="66">
        <v>2016</v>
      </c>
      <c r="N18" s="102" t="s">
        <v>5830</v>
      </c>
      <c r="O18" s="103"/>
    </row>
    <row r="19" spans="1:15" s="104" customFormat="1" ht="19.95" customHeight="1">
      <c r="A19" s="97">
        <v>28</v>
      </c>
      <c r="B19" s="98" t="s">
        <v>5071</v>
      </c>
      <c r="C19" s="98" t="s">
        <v>5794</v>
      </c>
      <c r="D19" s="99" t="s">
        <v>5831</v>
      </c>
      <c r="E19" s="99" t="s">
        <v>5832</v>
      </c>
      <c r="F19" s="100" t="s">
        <v>5833</v>
      </c>
      <c r="G19" s="100" t="s">
        <v>5834</v>
      </c>
      <c r="H19" s="101" t="s">
        <v>5835</v>
      </c>
      <c r="I19" s="98">
        <v>1</v>
      </c>
      <c r="J19" s="98">
        <v>1</v>
      </c>
      <c r="K19" s="99" t="s">
        <v>5836</v>
      </c>
      <c r="L19" s="98" t="s">
        <v>568</v>
      </c>
      <c r="M19" s="66">
        <v>2016</v>
      </c>
      <c r="N19" s="102" t="s">
        <v>5837</v>
      </c>
      <c r="O19" s="103"/>
    </row>
    <row r="20" spans="1:15" s="104" customFormat="1" ht="19.95" customHeight="1">
      <c r="A20" s="97">
        <v>30</v>
      </c>
      <c r="B20" s="98" t="s">
        <v>5071</v>
      </c>
      <c r="C20" s="98" t="s">
        <v>5794</v>
      </c>
      <c r="D20" s="99" t="s">
        <v>5838</v>
      </c>
      <c r="E20" s="99" t="s">
        <v>5839</v>
      </c>
      <c r="F20" s="100" t="s">
        <v>5840</v>
      </c>
      <c r="G20" s="100" t="s">
        <v>5841</v>
      </c>
      <c r="H20" s="101" t="s">
        <v>5842</v>
      </c>
      <c r="I20" s="98">
        <v>1</v>
      </c>
      <c r="J20" s="98">
        <v>1</v>
      </c>
      <c r="K20" s="99" t="s">
        <v>5843</v>
      </c>
      <c r="L20" s="98" t="s">
        <v>568</v>
      </c>
      <c r="M20" s="66">
        <v>2016</v>
      </c>
      <c r="N20" s="102" t="s">
        <v>5844</v>
      </c>
      <c r="O20" s="103"/>
    </row>
    <row r="21" spans="1:15" s="104" customFormat="1" ht="19.95" customHeight="1">
      <c r="A21" s="97">
        <v>35</v>
      </c>
      <c r="B21" s="98" t="s">
        <v>5071</v>
      </c>
      <c r="C21" s="98" t="s">
        <v>5794</v>
      </c>
      <c r="D21" s="99" t="s">
        <v>1709</v>
      </c>
      <c r="E21" s="99" t="s">
        <v>5845</v>
      </c>
      <c r="F21" s="100" t="s">
        <v>5846</v>
      </c>
      <c r="G21" s="100" t="s">
        <v>5847</v>
      </c>
      <c r="H21" s="101" t="s">
        <v>5848</v>
      </c>
      <c r="I21" s="98">
        <v>1</v>
      </c>
      <c r="J21" s="98">
        <v>1</v>
      </c>
      <c r="K21" s="99" t="s">
        <v>5849</v>
      </c>
      <c r="L21" s="98" t="s">
        <v>568</v>
      </c>
      <c r="M21" s="66">
        <v>2016</v>
      </c>
      <c r="N21" s="102" t="s">
        <v>5850</v>
      </c>
      <c r="O21" s="103"/>
    </row>
    <row r="22" spans="1:15" s="104" customFormat="1" ht="19.95" customHeight="1">
      <c r="A22" s="97">
        <v>36</v>
      </c>
      <c r="B22" s="98" t="s">
        <v>5071</v>
      </c>
      <c r="C22" s="98" t="s">
        <v>5794</v>
      </c>
      <c r="D22" s="99" t="s">
        <v>5851</v>
      </c>
      <c r="E22" s="99" t="s">
        <v>5852</v>
      </c>
      <c r="F22" s="100" t="s">
        <v>5853</v>
      </c>
      <c r="G22" s="100" t="s">
        <v>5854</v>
      </c>
      <c r="H22" s="101" t="s">
        <v>5855</v>
      </c>
      <c r="I22" s="98">
        <v>1</v>
      </c>
      <c r="J22" s="98">
        <v>1</v>
      </c>
      <c r="K22" s="99" t="s">
        <v>5856</v>
      </c>
      <c r="L22" s="98" t="s">
        <v>568</v>
      </c>
      <c r="M22" s="66">
        <v>2016</v>
      </c>
      <c r="N22" s="102" t="s">
        <v>5857</v>
      </c>
      <c r="O22" s="103"/>
    </row>
    <row r="23" spans="1:15" s="104" customFormat="1" ht="19.95" customHeight="1">
      <c r="A23" s="97">
        <v>38</v>
      </c>
      <c r="B23" s="98" t="s">
        <v>5071</v>
      </c>
      <c r="C23" s="98" t="s">
        <v>5794</v>
      </c>
      <c r="D23" s="99" t="s">
        <v>3451</v>
      </c>
      <c r="E23" s="99" t="s">
        <v>5858</v>
      </c>
      <c r="F23" s="100" t="s">
        <v>5859</v>
      </c>
      <c r="G23" s="100" t="s">
        <v>5860</v>
      </c>
      <c r="H23" s="101" t="s">
        <v>5861</v>
      </c>
      <c r="I23" s="98">
        <v>1</v>
      </c>
      <c r="J23" s="98">
        <v>1</v>
      </c>
      <c r="K23" s="99" t="s">
        <v>5862</v>
      </c>
      <c r="L23" s="98" t="s">
        <v>568</v>
      </c>
      <c r="M23" s="66">
        <v>2016</v>
      </c>
      <c r="N23" s="102" t="s">
        <v>5863</v>
      </c>
      <c r="O23" s="103"/>
    </row>
    <row r="24" spans="1:15" s="104" customFormat="1" ht="19.95" customHeight="1">
      <c r="A24" s="97">
        <v>43</v>
      </c>
      <c r="B24" s="98" t="s">
        <v>5071</v>
      </c>
      <c r="C24" s="98" t="s">
        <v>5794</v>
      </c>
      <c r="D24" s="99" t="s">
        <v>5864</v>
      </c>
      <c r="E24" s="99" t="s">
        <v>5865</v>
      </c>
      <c r="F24" s="100" t="s">
        <v>5866</v>
      </c>
      <c r="G24" s="100" t="s">
        <v>5867</v>
      </c>
      <c r="H24" s="101" t="s">
        <v>5868</v>
      </c>
      <c r="I24" s="98">
        <v>1</v>
      </c>
      <c r="J24" s="98">
        <v>1</v>
      </c>
      <c r="K24" s="99" t="s">
        <v>5869</v>
      </c>
      <c r="L24" s="98" t="s">
        <v>568</v>
      </c>
      <c r="M24" s="66">
        <v>2016</v>
      </c>
      <c r="N24" s="102" t="s">
        <v>5870</v>
      </c>
      <c r="O24" s="103"/>
    </row>
    <row r="25" spans="1:15" s="104" customFormat="1" ht="19.95" customHeight="1">
      <c r="A25" s="97">
        <v>44</v>
      </c>
      <c r="B25" s="98" t="s">
        <v>5071</v>
      </c>
      <c r="C25" s="98" t="s">
        <v>5794</v>
      </c>
      <c r="D25" s="99" t="s">
        <v>503</v>
      </c>
      <c r="E25" s="99" t="s">
        <v>5871</v>
      </c>
      <c r="F25" s="100" t="s">
        <v>5872</v>
      </c>
      <c r="G25" s="100" t="s">
        <v>5873</v>
      </c>
      <c r="H25" s="101" t="s">
        <v>5874</v>
      </c>
      <c r="I25" s="98">
        <v>1</v>
      </c>
      <c r="J25" s="98">
        <v>1</v>
      </c>
      <c r="K25" s="99" t="s">
        <v>5875</v>
      </c>
      <c r="L25" s="98" t="s">
        <v>568</v>
      </c>
      <c r="M25" s="66">
        <v>2016</v>
      </c>
      <c r="N25" s="102" t="s">
        <v>5876</v>
      </c>
      <c r="O25" s="103"/>
    </row>
    <row r="26" spans="1:15" s="104" customFormat="1" ht="19.95" customHeight="1">
      <c r="A26" s="97">
        <v>48</v>
      </c>
      <c r="B26" s="98" t="s">
        <v>5071</v>
      </c>
      <c r="C26" s="98" t="s">
        <v>5794</v>
      </c>
      <c r="D26" s="99" t="s">
        <v>5877</v>
      </c>
      <c r="E26" s="99" t="s">
        <v>5878</v>
      </c>
      <c r="F26" s="100" t="s">
        <v>5879</v>
      </c>
      <c r="G26" s="100" t="s">
        <v>5880</v>
      </c>
      <c r="H26" s="101" t="s">
        <v>5881</v>
      </c>
      <c r="I26" s="98">
        <v>1</v>
      </c>
      <c r="J26" s="98">
        <v>1</v>
      </c>
      <c r="K26" s="99" t="s">
        <v>5089</v>
      </c>
      <c r="L26" s="98" t="s">
        <v>568</v>
      </c>
      <c r="M26" s="66">
        <v>2016</v>
      </c>
      <c r="N26" s="102" t="s">
        <v>5882</v>
      </c>
      <c r="O26" s="103"/>
    </row>
    <row r="27" spans="1:15" s="104" customFormat="1" ht="19.95" customHeight="1">
      <c r="A27" s="97">
        <v>49</v>
      </c>
      <c r="B27" s="98" t="s">
        <v>5071</v>
      </c>
      <c r="C27" s="98" t="s">
        <v>5794</v>
      </c>
      <c r="D27" s="99" t="s">
        <v>492</v>
      </c>
      <c r="E27" s="99" t="s">
        <v>5883</v>
      </c>
      <c r="F27" s="100" t="s">
        <v>5884</v>
      </c>
      <c r="G27" s="100" t="s">
        <v>5885</v>
      </c>
      <c r="H27" s="101" t="s">
        <v>5886</v>
      </c>
      <c r="I27" s="98">
        <v>1</v>
      </c>
      <c r="J27" s="98">
        <v>1</v>
      </c>
      <c r="K27" s="99" t="s">
        <v>5887</v>
      </c>
      <c r="L27" s="98" t="s">
        <v>568</v>
      </c>
      <c r="M27" s="66">
        <v>2016</v>
      </c>
      <c r="N27" s="102" t="s">
        <v>5888</v>
      </c>
      <c r="O27" s="103"/>
    </row>
    <row r="28" spans="1:15" s="104" customFormat="1" ht="19.95" customHeight="1">
      <c r="A28" s="105">
        <v>5</v>
      </c>
      <c r="B28" s="106" t="s">
        <v>5071</v>
      </c>
      <c r="C28" s="106" t="s">
        <v>5794</v>
      </c>
      <c r="D28" s="107" t="s">
        <v>5889</v>
      </c>
      <c r="E28" s="106" t="s">
        <v>5890</v>
      </c>
      <c r="F28" s="107" t="s">
        <v>5891</v>
      </c>
      <c r="G28" s="108">
        <v>9781466698642</v>
      </c>
      <c r="H28" s="108" t="s">
        <v>5892</v>
      </c>
      <c r="I28" s="109">
        <v>1</v>
      </c>
      <c r="J28" s="109">
        <v>1</v>
      </c>
      <c r="K28" s="106" t="s">
        <v>4943</v>
      </c>
      <c r="L28" s="106" t="s">
        <v>568</v>
      </c>
      <c r="M28" s="110">
        <v>2016</v>
      </c>
      <c r="N28" s="111" t="s">
        <v>5893</v>
      </c>
      <c r="O28" s="112" t="s">
        <v>5894</v>
      </c>
    </row>
    <row r="29" spans="1:15" s="104" customFormat="1" ht="19.95" customHeight="1">
      <c r="A29" s="105">
        <v>9</v>
      </c>
      <c r="B29" s="106" t="s">
        <v>5071</v>
      </c>
      <c r="C29" s="106" t="s">
        <v>5794</v>
      </c>
      <c r="D29" s="107" t="s">
        <v>5895</v>
      </c>
      <c r="E29" s="106" t="s">
        <v>5896</v>
      </c>
      <c r="F29" s="107" t="s">
        <v>5897</v>
      </c>
      <c r="G29" s="108">
        <v>9781466695337</v>
      </c>
      <c r="H29" s="108" t="s">
        <v>5898</v>
      </c>
      <c r="I29" s="109">
        <v>1</v>
      </c>
      <c r="J29" s="109">
        <v>1</v>
      </c>
      <c r="K29" s="106" t="s">
        <v>5899</v>
      </c>
      <c r="L29" s="106" t="s">
        <v>568</v>
      </c>
      <c r="M29" s="110">
        <v>2016</v>
      </c>
      <c r="N29" s="111" t="s">
        <v>5900</v>
      </c>
      <c r="O29" s="112" t="s">
        <v>5901</v>
      </c>
    </row>
    <row r="30" spans="1:15" s="104" customFormat="1" ht="19.95" customHeight="1">
      <c r="A30" s="105">
        <v>11</v>
      </c>
      <c r="B30" s="106" t="s">
        <v>5071</v>
      </c>
      <c r="C30" s="106" t="s">
        <v>5794</v>
      </c>
      <c r="D30" s="107">
        <v>338.47910688000002</v>
      </c>
      <c r="E30" s="106" t="s">
        <v>5902</v>
      </c>
      <c r="F30" s="107" t="s">
        <v>5903</v>
      </c>
      <c r="G30" s="108">
        <v>9781466697614</v>
      </c>
      <c r="H30" s="108" t="s">
        <v>5904</v>
      </c>
      <c r="I30" s="109">
        <v>1</v>
      </c>
      <c r="J30" s="109">
        <v>1</v>
      </c>
      <c r="K30" s="106" t="s">
        <v>5905</v>
      </c>
      <c r="L30" s="106" t="s">
        <v>568</v>
      </c>
      <c r="M30" s="110">
        <v>2016</v>
      </c>
      <c r="N30" s="111" t="s">
        <v>5906</v>
      </c>
      <c r="O30" s="112" t="s">
        <v>5907</v>
      </c>
    </row>
    <row r="31" spans="1:15" s="104" customFormat="1" ht="19.95" customHeight="1">
      <c r="A31" s="97">
        <v>13</v>
      </c>
      <c r="B31" s="98" t="s">
        <v>5071</v>
      </c>
      <c r="C31" s="98" t="s">
        <v>5794</v>
      </c>
      <c r="D31" s="99" t="s">
        <v>5908</v>
      </c>
      <c r="E31" s="99" t="s">
        <v>5909</v>
      </c>
      <c r="F31" s="100" t="s">
        <v>5910</v>
      </c>
      <c r="G31" s="100" t="s">
        <v>5911</v>
      </c>
      <c r="H31" s="101" t="s">
        <v>5912</v>
      </c>
      <c r="I31" s="98">
        <v>1</v>
      </c>
      <c r="J31" s="98">
        <v>1</v>
      </c>
      <c r="K31" s="99" t="s">
        <v>2286</v>
      </c>
      <c r="L31" s="98" t="s">
        <v>568</v>
      </c>
      <c r="M31" s="66">
        <v>2015</v>
      </c>
      <c r="N31" s="102" t="s">
        <v>5913</v>
      </c>
      <c r="O31" s="103"/>
    </row>
    <row r="32" spans="1:15" s="104" customFormat="1" ht="19.95" customHeight="1">
      <c r="A32" s="97">
        <v>25</v>
      </c>
      <c r="B32" s="98" t="s">
        <v>5071</v>
      </c>
      <c r="C32" s="98" t="s">
        <v>5794</v>
      </c>
      <c r="D32" s="99" t="s">
        <v>938</v>
      </c>
      <c r="E32" s="99" t="s">
        <v>5914</v>
      </c>
      <c r="F32" s="100" t="s">
        <v>5915</v>
      </c>
      <c r="G32" s="100" t="s">
        <v>5916</v>
      </c>
      <c r="H32" s="101" t="s">
        <v>5917</v>
      </c>
      <c r="I32" s="98">
        <v>1</v>
      </c>
      <c r="J32" s="98">
        <v>1</v>
      </c>
      <c r="K32" s="99" t="s">
        <v>5918</v>
      </c>
      <c r="L32" s="98" t="s">
        <v>568</v>
      </c>
      <c r="M32" s="66">
        <v>2015</v>
      </c>
      <c r="N32" s="102" t="s">
        <v>5919</v>
      </c>
      <c r="O32" s="103"/>
    </row>
    <row r="33" spans="1:15" s="104" customFormat="1" ht="19.95" customHeight="1">
      <c r="A33" s="97">
        <v>42</v>
      </c>
      <c r="B33" s="98" t="s">
        <v>5071</v>
      </c>
      <c r="C33" s="98" t="s">
        <v>5794</v>
      </c>
      <c r="D33" s="99" t="s">
        <v>5920</v>
      </c>
      <c r="E33" s="99" t="s">
        <v>5921</v>
      </c>
      <c r="F33" s="100" t="s">
        <v>5922</v>
      </c>
      <c r="G33" s="100" t="s">
        <v>5923</v>
      </c>
      <c r="H33" s="101" t="s">
        <v>5924</v>
      </c>
      <c r="I33" s="98">
        <v>1</v>
      </c>
      <c r="J33" s="98">
        <v>1</v>
      </c>
      <c r="K33" s="99" t="s">
        <v>5925</v>
      </c>
      <c r="L33" s="98" t="s">
        <v>568</v>
      </c>
      <c r="M33" s="66">
        <v>2015</v>
      </c>
      <c r="N33" s="102" t="s">
        <v>5926</v>
      </c>
      <c r="O33" s="103"/>
    </row>
    <row r="34" spans="1:15" s="104" customFormat="1" ht="19.95" customHeight="1">
      <c r="A34" s="97">
        <v>47</v>
      </c>
      <c r="B34" s="98" t="s">
        <v>5071</v>
      </c>
      <c r="C34" s="98" t="s">
        <v>5794</v>
      </c>
      <c r="D34" s="99" t="s">
        <v>5927</v>
      </c>
      <c r="E34" s="99" t="s">
        <v>5928</v>
      </c>
      <c r="F34" s="100" t="s">
        <v>5929</v>
      </c>
      <c r="G34" s="100" t="s">
        <v>5930</v>
      </c>
      <c r="H34" s="101" t="s">
        <v>5931</v>
      </c>
      <c r="I34" s="98">
        <v>1</v>
      </c>
      <c r="J34" s="98">
        <v>1</v>
      </c>
      <c r="K34" s="99" t="s">
        <v>5932</v>
      </c>
      <c r="L34" s="98" t="s">
        <v>568</v>
      </c>
      <c r="M34" s="66">
        <v>2015</v>
      </c>
      <c r="N34" s="102" t="s">
        <v>5933</v>
      </c>
      <c r="O34" s="103"/>
    </row>
    <row r="35" spans="1:15" s="104" customFormat="1" ht="19.95" customHeight="1">
      <c r="A35" s="105">
        <v>4</v>
      </c>
      <c r="B35" s="106" t="s">
        <v>5071</v>
      </c>
      <c r="C35" s="106" t="s">
        <v>5794</v>
      </c>
      <c r="D35" s="107" t="s">
        <v>5934</v>
      </c>
      <c r="E35" s="106" t="s">
        <v>5935</v>
      </c>
      <c r="F35" s="107" t="s">
        <v>5936</v>
      </c>
      <c r="G35" s="108">
        <v>9781466684874</v>
      </c>
      <c r="H35" s="108" t="s">
        <v>5937</v>
      </c>
      <c r="I35" s="109">
        <v>1</v>
      </c>
      <c r="J35" s="109">
        <v>1</v>
      </c>
      <c r="K35" s="106" t="s">
        <v>2821</v>
      </c>
      <c r="L35" s="106" t="s">
        <v>568</v>
      </c>
      <c r="M35" s="110">
        <v>2015</v>
      </c>
      <c r="N35" s="111" t="s">
        <v>5938</v>
      </c>
      <c r="O35" s="112" t="s">
        <v>5939</v>
      </c>
    </row>
    <row r="36" spans="1:15" s="104" customFormat="1" ht="19.95" customHeight="1">
      <c r="A36" s="105">
        <v>7</v>
      </c>
      <c r="B36" s="106" t="s">
        <v>5071</v>
      </c>
      <c r="C36" s="106" t="s">
        <v>5794</v>
      </c>
      <c r="D36" s="107" t="s">
        <v>5940</v>
      </c>
      <c r="E36" s="106" t="s">
        <v>5941</v>
      </c>
      <c r="F36" s="107" t="s">
        <v>5942</v>
      </c>
      <c r="G36" s="108">
        <v>9781466684966</v>
      </c>
      <c r="H36" s="108" t="s">
        <v>5943</v>
      </c>
      <c r="I36" s="109">
        <v>1</v>
      </c>
      <c r="J36" s="109">
        <v>1</v>
      </c>
      <c r="K36" s="106" t="s">
        <v>5944</v>
      </c>
      <c r="L36" s="106" t="s">
        <v>568</v>
      </c>
      <c r="M36" s="110">
        <v>2015</v>
      </c>
      <c r="N36" s="111" t="s">
        <v>5945</v>
      </c>
      <c r="O36" s="112" t="s">
        <v>5939</v>
      </c>
    </row>
    <row r="37" spans="1:15" s="104" customFormat="1" ht="19.95" customHeight="1">
      <c r="A37" s="97">
        <v>10</v>
      </c>
      <c r="B37" s="98" t="s">
        <v>5071</v>
      </c>
      <c r="C37" s="98" t="s">
        <v>1643</v>
      </c>
      <c r="D37" s="99" t="s">
        <v>5946</v>
      </c>
      <c r="E37" s="99" t="s">
        <v>5947</v>
      </c>
      <c r="F37" s="100" t="s">
        <v>5948</v>
      </c>
      <c r="G37" s="100" t="s">
        <v>5949</v>
      </c>
      <c r="H37" s="101" t="s">
        <v>5950</v>
      </c>
      <c r="I37" s="98">
        <v>3</v>
      </c>
      <c r="J37" s="98">
        <v>1</v>
      </c>
      <c r="K37" s="99" t="s">
        <v>1424</v>
      </c>
      <c r="L37" s="98" t="s">
        <v>569</v>
      </c>
      <c r="M37" s="66">
        <v>2015</v>
      </c>
      <c r="N37" s="102" t="s">
        <v>5951</v>
      </c>
      <c r="O37" s="103"/>
    </row>
    <row r="38" spans="1:15" s="104" customFormat="1" ht="19.95" customHeight="1">
      <c r="A38" s="97">
        <v>23</v>
      </c>
      <c r="B38" s="98" t="s">
        <v>5071</v>
      </c>
      <c r="C38" s="98" t="s">
        <v>1643</v>
      </c>
      <c r="D38" s="99" t="s">
        <v>2939</v>
      </c>
      <c r="E38" s="99" t="s">
        <v>5952</v>
      </c>
      <c r="F38" s="100" t="s">
        <v>5953</v>
      </c>
      <c r="G38" s="100" t="s">
        <v>5954</v>
      </c>
      <c r="H38" s="101" t="s">
        <v>5955</v>
      </c>
      <c r="I38" s="98">
        <v>1</v>
      </c>
      <c r="J38" s="98">
        <v>1</v>
      </c>
      <c r="K38" s="99" t="s">
        <v>1708</v>
      </c>
      <c r="L38" s="98" t="s">
        <v>569</v>
      </c>
      <c r="M38" s="66">
        <v>2015</v>
      </c>
      <c r="N38" s="102" t="s">
        <v>5956</v>
      </c>
      <c r="O38" s="103"/>
    </row>
    <row r="39" spans="1:15" s="104" customFormat="1" ht="19.95" customHeight="1">
      <c r="A39" s="97">
        <v>29</v>
      </c>
      <c r="B39" s="98" t="s">
        <v>5071</v>
      </c>
      <c r="C39" s="98" t="s">
        <v>1643</v>
      </c>
      <c r="D39" s="99" t="s">
        <v>2866</v>
      </c>
      <c r="E39" s="99" t="s">
        <v>5957</v>
      </c>
      <c r="F39" s="100" t="s">
        <v>5958</v>
      </c>
      <c r="G39" s="100" t="s">
        <v>5959</v>
      </c>
      <c r="H39" s="101" t="s">
        <v>5960</v>
      </c>
      <c r="I39" s="98">
        <v>1</v>
      </c>
      <c r="J39" s="98">
        <v>1</v>
      </c>
      <c r="K39" s="99" t="s">
        <v>5961</v>
      </c>
      <c r="L39" s="98" t="s">
        <v>569</v>
      </c>
      <c r="M39" s="66">
        <v>2015</v>
      </c>
      <c r="N39" s="102" t="s">
        <v>5962</v>
      </c>
      <c r="O39" s="103"/>
    </row>
    <row r="40" spans="1:15" s="104" customFormat="1" ht="19.95" customHeight="1">
      <c r="A40" s="97">
        <v>50</v>
      </c>
      <c r="B40" s="98" t="s">
        <v>5071</v>
      </c>
      <c r="C40" s="98" t="s">
        <v>1643</v>
      </c>
      <c r="D40" s="99" t="s">
        <v>496</v>
      </c>
      <c r="E40" s="99" t="s">
        <v>5963</v>
      </c>
      <c r="F40" s="100" t="s">
        <v>5964</v>
      </c>
      <c r="G40" s="100" t="s">
        <v>5965</v>
      </c>
      <c r="H40" s="101" t="s">
        <v>5966</v>
      </c>
      <c r="I40" s="98">
        <v>1</v>
      </c>
      <c r="J40" s="98">
        <v>1</v>
      </c>
      <c r="K40" s="99" t="s">
        <v>5967</v>
      </c>
      <c r="L40" s="98" t="s">
        <v>569</v>
      </c>
      <c r="M40" s="66">
        <v>2015</v>
      </c>
      <c r="N40" s="102" t="s">
        <v>5968</v>
      </c>
      <c r="O40" s="103"/>
    </row>
    <row r="41" spans="1:15" s="104" customFormat="1" ht="19.95" customHeight="1">
      <c r="A41" s="105">
        <v>10</v>
      </c>
      <c r="B41" s="106" t="s">
        <v>5071</v>
      </c>
      <c r="C41" s="106" t="s">
        <v>1643</v>
      </c>
      <c r="D41" s="107" t="s">
        <v>5969</v>
      </c>
      <c r="E41" s="106" t="s">
        <v>5970</v>
      </c>
      <c r="F41" s="107" t="s">
        <v>5971</v>
      </c>
      <c r="G41" s="108">
        <v>9781466663473</v>
      </c>
      <c r="H41" s="108" t="s">
        <v>5972</v>
      </c>
      <c r="I41" s="109">
        <v>1</v>
      </c>
      <c r="J41" s="109">
        <v>1</v>
      </c>
      <c r="K41" s="113" t="s">
        <v>2218</v>
      </c>
      <c r="L41" s="106" t="s">
        <v>569</v>
      </c>
      <c r="M41" s="110">
        <v>2015</v>
      </c>
      <c r="N41" s="111" t="s">
        <v>5973</v>
      </c>
      <c r="O41" s="112" t="s">
        <v>5974</v>
      </c>
    </row>
    <row r="42" spans="1:15" s="104" customFormat="1" ht="19.95" customHeight="1">
      <c r="A42" s="97">
        <v>2</v>
      </c>
      <c r="B42" s="98" t="s">
        <v>5071</v>
      </c>
      <c r="C42" s="98" t="s">
        <v>1643</v>
      </c>
      <c r="D42" s="99" t="s">
        <v>5975</v>
      </c>
      <c r="E42" s="99" t="s">
        <v>5976</v>
      </c>
      <c r="F42" s="100" t="s">
        <v>5977</v>
      </c>
      <c r="G42" s="100" t="s">
        <v>5978</v>
      </c>
      <c r="H42" s="101" t="s">
        <v>5979</v>
      </c>
      <c r="I42" s="98">
        <v>1</v>
      </c>
      <c r="J42" s="98">
        <v>1</v>
      </c>
      <c r="K42" s="99" t="s">
        <v>5980</v>
      </c>
      <c r="L42" s="98" t="s">
        <v>569</v>
      </c>
      <c r="M42" s="66">
        <v>2014</v>
      </c>
      <c r="N42" s="102" t="s">
        <v>5981</v>
      </c>
      <c r="O42" s="103"/>
    </row>
    <row r="43" spans="1:15" s="104" customFormat="1" ht="19.95" customHeight="1">
      <c r="A43" s="97">
        <v>9</v>
      </c>
      <c r="B43" s="98" t="s">
        <v>5071</v>
      </c>
      <c r="C43" s="98" t="s">
        <v>1643</v>
      </c>
      <c r="D43" s="99" t="s">
        <v>5982</v>
      </c>
      <c r="E43" s="99" t="s">
        <v>5983</v>
      </c>
      <c r="F43" s="100" t="s">
        <v>5984</v>
      </c>
      <c r="G43" s="100" t="s">
        <v>5985</v>
      </c>
      <c r="H43" s="101" t="s">
        <v>5986</v>
      </c>
      <c r="I43" s="98">
        <v>1</v>
      </c>
      <c r="J43" s="98">
        <v>1</v>
      </c>
      <c r="K43" s="99" t="s">
        <v>2218</v>
      </c>
      <c r="L43" s="98" t="s">
        <v>569</v>
      </c>
      <c r="M43" s="66">
        <v>2014</v>
      </c>
      <c r="N43" s="102" t="s">
        <v>5987</v>
      </c>
      <c r="O43" s="103"/>
    </row>
    <row r="44" spans="1:15" s="104" customFormat="1" ht="19.95" customHeight="1">
      <c r="A44" s="97">
        <v>14</v>
      </c>
      <c r="B44" s="98" t="s">
        <v>5071</v>
      </c>
      <c r="C44" s="98" t="s">
        <v>1643</v>
      </c>
      <c r="D44" s="99" t="s">
        <v>5308</v>
      </c>
      <c r="E44" s="99" t="s">
        <v>5988</v>
      </c>
      <c r="F44" s="100" t="s">
        <v>5989</v>
      </c>
      <c r="G44" s="100" t="s">
        <v>5990</v>
      </c>
      <c r="H44" s="101" t="s">
        <v>5991</v>
      </c>
      <c r="I44" s="98">
        <v>1</v>
      </c>
      <c r="J44" s="98">
        <v>1</v>
      </c>
      <c r="K44" s="99" t="s">
        <v>5992</v>
      </c>
      <c r="L44" s="98" t="s">
        <v>569</v>
      </c>
      <c r="M44" s="66">
        <v>2014</v>
      </c>
      <c r="N44" s="102" t="s">
        <v>5993</v>
      </c>
      <c r="O44" s="103"/>
    </row>
    <row r="45" spans="1:15" s="104" customFormat="1" ht="19.95" customHeight="1">
      <c r="A45" s="97">
        <v>41</v>
      </c>
      <c r="B45" s="98" t="s">
        <v>5071</v>
      </c>
      <c r="C45" s="98" t="s">
        <v>1643</v>
      </c>
      <c r="D45" s="99" t="s">
        <v>5994</v>
      </c>
      <c r="E45" s="99" t="s">
        <v>5995</v>
      </c>
      <c r="F45" s="100" t="s">
        <v>5996</v>
      </c>
      <c r="G45" s="100" t="s">
        <v>5997</v>
      </c>
      <c r="H45" s="101" t="s">
        <v>5998</v>
      </c>
      <c r="I45" s="98">
        <v>1</v>
      </c>
      <c r="J45" s="98">
        <v>1</v>
      </c>
      <c r="K45" s="99" t="s">
        <v>2680</v>
      </c>
      <c r="L45" s="98" t="s">
        <v>569</v>
      </c>
      <c r="M45" s="66">
        <v>2014</v>
      </c>
      <c r="N45" s="102" t="s">
        <v>5999</v>
      </c>
      <c r="O45" s="103"/>
    </row>
    <row r="46" spans="1:15" s="104" customFormat="1" ht="19.95" customHeight="1">
      <c r="A46" s="97">
        <v>46</v>
      </c>
      <c r="B46" s="98" t="s">
        <v>5071</v>
      </c>
      <c r="C46" s="98" t="s">
        <v>1643</v>
      </c>
      <c r="D46" s="99" t="s">
        <v>2939</v>
      </c>
      <c r="E46" s="99" t="s">
        <v>6000</v>
      </c>
      <c r="F46" s="100" t="s">
        <v>6001</v>
      </c>
      <c r="G46" s="100" t="s">
        <v>6002</v>
      </c>
      <c r="H46" s="101" t="s">
        <v>6003</v>
      </c>
      <c r="I46" s="98">
        <v>1</v>
      </c>
      <c r="J46" s="98">
        <v>1</v>
      </c>
      <c r="K46" s="99" t="s">
        <v>5286</v>
      </c>
      <c r="L46" s="98" t="s">
        <v>569</v>
      </c>
      <c r="M46" s="66">
        <v>2014</v>
      </c>
      <c r="N46" s="102" t="s">
        <v>6004</v>
      </c>
      <c r="O46" s="103"/>
    </row>
    <row r="47" spans="1:15" s="104" customFormat="1" ht="19.95" customHeight="1">
      <c r="A47" s="105">
        <v>2</v>
      </c>
      <c r="B47" s="106" t="s">
        <v>5071</v>
      </c>
      <c r="C47" s="106" t="s">
        <v>1643</v>
      </c>
      <c r="D47" s="107" t="s">
        <v>6005</v>
      </c>
      <c r="E47" s="106" t="s">
        <v>6006</v>
      </c>
      <c r="F47" s="107" t="s">
        <v>6007</v>
      </c>
      <c r="G47" s="108">
        <v>9781466659902</v>
      </c>
      <c r="H47" s="108" t="s">
        <v>6008</v>
      </c>
      <c r="I47" s="109">
        <v>1</v>
      </c>
      <c r="J47" s="109">
        <v>1</v>
      </c>
      <c r="K47" s="98" t="s">
        <v>6009</v>
      </c>
      <c r="L47" s="106" t="s">
        <v>569</v>
      </c>
      <c r="M47" s="110">
        <v>2014</v>
      </c>
      <c r="N47" s="111" t="s">
        <v>6010</v>
      </c>
      <c r="O47" s="112" t="s">
        <v>5907</v>
      </c>
    </row>
    <row r="48" spans="1:15" s="104" customFormat="1" ht="19.95" customHeight="1">
      <c r="A48" s="97">
        <v>15</v>
      </c>
      <c r="B48" s="98" t="s">
        <v>5071</v>
      </c>
      <c r="C48" s="98" t="s">
        <v>1643</v>
      </c>
      <c r="D48" s="99" t="s">
        <v>6011</v>
      </c>
      <c r="E48" s="99" t="s">
        <v>6012</v>
      </c>
      <c r="F48" s="100" t="s">
        <v>6013</v>
      </c>
      <c r="G48" s="100" t="s">
        <v>6014</v>
      </c>
      <c r="H48" s="101" t="s">
        <v>6015</v>
      </c>
      <c r="I48" s="98">
        <v>1</v>
      </c>
      <c r="J48" s="98">
        <v>1</v>
      </c>
      <c r="K48" s="99" t="s">
        <v>6016</v>
      </c>
      <c r="L48" s="98" t="s">
        <v>569</v>
      </c>
      <c r="M48" s="66">
        <v>2011</v>
      </c>
      <c r="N48" s="102" t="s">
        <v>6017</v>
      </c>
      <c r="O48" s="103"/>
    </row>
    <row r="49" spans="1:15" s="104" customFormat="1" ht="19.95" customHeight="1">
      <c r="A49" s="97">
        <v>7</v>
      </c>
      <c r="B49" s="98" t="s">
        <v>5071</v>
      </c>
      <c r="C49" s="98" t="s">
        <v>6018</v>
      </c>
      <c r="D49" s="99" t="s">
        <v>6019</v>
      </c>
      <c r="E49" s="99" t="s">
        <v>6020</v>
      </c>
      <c r="F49" s="100" t="s">
        <v>6021</v>
      </c>
      <c r="G49" s="100" t="s">
        <v>6022</v>
      </c>
      <c r="H49" s="101" t="s">
        <v>6023</v>
      </c>
      <c r="I49" s="98">
        <v>1</v>
      </c>
      <c r="J49" s="98">
        <v>1</v>
      </c>
      <c r="K49" s="99" t="s">
        <v>6024</v>
      </c>
      <c r="L49" s="98" t="s">
        <v>569</v>
      </c>
      <c r="M49" s="66">
        <v>2016</v>
      </c>
      <c r="N49" s="102" t="s">
        <v>6025</v>
      </c>
      <c r="O49" s="103"/>
    </row>
    <row r="50" spans="1:15" s="104" customFormat="1" ht="19.95" customHeight="1">
      <c r="A50" s="97">
        <v>40</v>
      </c>
      <c r="B50" s="98" t="s">
        <v>5071</v>
      </c>
      <c r="C50" s="98" t="s">
        <v>6018</v>
      </c>
      <c r="D50" s="99" t="s">
        <v>6026</v>
      </c>
      <c r="E50" s="99" t="s">
        <v>6027</v>
      </c>
      <c r="F50" s="100" t="s">
        <v>6028</v>
      </c>
      <c r="G50" s="100" t="s">
        <v>6029</v>
      </c>
      <c r="H50" s="101" t="s">
        <v>6030</v>
      </c>
      <c r="I50" s="98">
        <v>1</v>
      </c>
      <c r="J50" s="98">
        <v>1</v>
      </c>
      <c r="K50" s="99" t="s">
        <v>6031</v>
      </c>
      <c r="L50" s="98" t="s">
        <v>569</v>
      </c>
      <c r="M50" s="66">
        <v>2016</v>
      </c>
      <c r="N50" s="102" t="s">
        <v>6032</v>
      </c>
      <c r="O50" s="103"/>
    </row>
    <row r="51" spans="1:15" s="104" customFormat="1" ht="19.95" customHeight="1">
      <c r="A51" s="97">
        <v>45</v>
      </c>
      <c r="B51" s="98" t="s">
        <v>5071</v>
      </c>
      <c r="C51" s="98" t="s">
        <v>6018</v>
      </c>
      <c r="D51" s="99" t="s">
        <v>6033</v>
      </c>
      <c r="E51" s="99" t="s">
        <v>6034</v>
      </c>
      <c r="F51" s="100" t="s">
        <v>6035</v>
      </c>
      <c r="G51" s="100" t="s">
        <v>6036</v>
      </c>
      <c r="H51" s="101" t="s">
        <v>6037</v>
      </c>
      <c r="I51" s="98">
        <v>1</v>
      </c>
      <c r="J51" s="98">
        <v>1</v>
      </c>
      <c r="K51" s="99" t="s">
        <v>6038</v>
      </c>
      <c r="L51" s="98" t="s">
        <v>569</v>
      </c>
      <c r="M51" s="66">
        <v>2015</v>
      </c>
      <c r="N51" s="102" t="s">
        <v>6039</v>
      </c>
      <c r="O51" s="103"/>
    </row>
    <row r="52" spans="1:15" s="104" customFormat="1" ht="19.95" customHeight="1">
      <c r="A52" s="97">
        <v>18</v>
      </c>
      <c r="B52" s="98" t="s">
        <v>5071</v>
      </c>
      <c r="C52" s="98" t="s">
        <v>6040</v>
      </c>
      <c r="D52" s="99" t="s">
        <v>808</v>
      </c>
      <c r="E52" s="99" t="s">
        <v>6041</v>
      </c>
      <c r="F52" s="100" t="s">
        <v>6042</v>
      </c>
      <c r="G52" s="100" t="s">
        <v>6043</v>
      </c>
      <c r="H52" s="101" t="s">
        <v>6044</v>
      </c>
      <c r="I52" s="98">
        <v>1</v>
      </c>
      <c r="J52" s="98">
        <v>1</v>
      </c>
      <c r="K52" s="99" t="s">
        <v>6045</v>
      </c>
      <c r="L52" s="98" t="s">
        <v>569</v>
      </c>
      <c r="M52" s="66">
        <v>2016</v>
      </c>
      <c r="N52" s="102" t="s">
        <v>6046</v>
      </c>
      <c r="O52" s="103"/>
    </row>
    <row r="53" spans="1:15" s="104" customFormat="1" ht="19.95" customHeight="1">
      <c r="A53" s="97">
        <v>20</v>
      </c>
      <c r="B53" s="98" t="s">
        <v>5071</v>
      </c>
      <c r="C53" s="98" t="s">
        <v>6040</v>
      </c>
      <c r="D53" s="99" t="s">
        <v>6047</v>
      </c>
      <c r="E53" s="99" t="s">
        <v>6048</v>
      </c>
      <c r="F53" s="100" t="s">
        <v>6049</v>
      </c>
      <c r="G53" s="100" t="s">
        <v>6050</v>
      </c>
      <c r="H53" s="101" t="s">
        <v>6051</v>
      </c>
      <c r="I53" s="98">
        <v>1</v>
      </c>
      <c r="J53" s="98">
        <v>1</v>
      </c>
      <c r="K53" s="99" t="s">
        <v>6052</v>
      </c>
      <c r="L53" s="98" t="s">
        <v>569</v>
      </c>
      <c r="M53" s="66">
        <v>2016</v>
      </c>
      <c r="N53" s="102" t="s">
        <v>6053</v>
      </c>
      <c r="O53" s="103"/>
    </row>
    <row r="54" spans="1:15" s="104" customFormat="1" ht="19.95" customHeight="1">
      <c r="A54" s="97">
        <v>37</v>
      </c>
      <c r="B54" s="98" t="s">
        <v>5071</v>
      </c>
      <c r="C54" s="98" t="s">
        <v>6040</v>
      </c>
      <c r="D54" s="99" t="s">
        <v>6054</v>
      </c>
      <c r="E54" s="99" t="s">
        <v>6055</v>
      </c>
      <c r="F54" s="100" t="s">
        <v>6056</v>
      </c>
      <c r="G54" s="100" t="s">
        <v>6057</v>
      </c>
      <c r="H54" s="101" t="s">
        <v>6058</v>
      </c>
      <c r="I54" s="98">
        <v>1</v>
      </c>
      <c r="J54" s="98">
        <v>1</v>
      </c>
      <c r="K54" s="99" t="s">
        <v>6059</v>
      </c>
      <c r="L54" s="98" t="s">
        <v>569</v>
      </c>
      <c r="M54" s="66">
        <v>2016</v>
      </c>
      <c r="N54" s="102" t="s">
        <v>6060</v>
      </c>
      <c r="O54" s="103"/>
    </row>
    <row r="55" spans="1:15" s="104" customFormat="1" ht="19.95" customHeight="1">
      <c r="A55" s="97">
        <v>39</v>
      </c>
      <c r="B55" s="98" t="s">
        <v>5071</v>
      </c>
      <c r="C55" s="98" t="s">
        <v>6040</v>
      </c>
      <c r="D55" s="99" t="s">
        <v>808</v>
      </c>
      <c r="E55" s="99" t="s">
        <v>6061</v>
      </c>
      <c r="F55" s="100" t="s">
        <v>6062</v>
      </c>
      <c r="G55" s="100" t="s">
        <v>6063</v>
      </c>
      <c r="H55" s="101" t="s">
        <v>6064</v>
      </c>
      <c r="I55" s="98">
        <v>1</v>
      </c>
      <c r="J55" s="98">
        <v>1</v>
      </c>
      <c r="K55" s="99" t="s">
        <v>6065</v>
      </c>
      <c r="L55" s="98" t="s">
        <v>569</v>
      </c>
      <c r="M55" s="66">
        <v>2016</v>
      </c>
      <c r="N55" s="102" t="s">
        <v>6066</v>
      </c>
      <c r="O55" s="103"/>
    </row>
    <row r="56" spans="1:15" s="104" customFormat="1" ht="19.95" customHeight="1">
      <c r="A56" s="105">
        <v>8</v>
      </c>
      <c r="B56" s="106" t="s">
        <v>5071</v>
      </c>
      <c r="C56" s="106" t="s">
        <v>6040</v>
      </c>
      <c r="D56" s="107" t="s">
        <v>6067</v>
      </c>
      <c r="E56" s="106" t="s">
        <v>6068</v>
      </c>
      <c r="F56" s="107" t="s">
        <v>6069</v>
      </c>
      <c r="G56" s="108">
        <v>9781522500070</v>
      </c>
      <c r="H56" s="108" t="s">
        <v>6070</v>
      </c>
      <c r="I56" s="109">
        <v>1</v>
      </c>
      <c r="J56" s="109">
        <v>1</v>
      </c>
      <c r="K56" s="106" t="s">
        <v>6071</v>
      </c>
      <c r="L56" s="106" t="s">
        <v>569</v>
      </c>
      <c r="M56" s="110">
        <v>2016</v>
      </c>
      <c r="N56" s="111" t="s">
        <v>6072</v>
      </c>
      <c r="O56" s="112" t="s">
        <v>5939</v>
      </c>
    </row>
    <row r="57" spans="1:15" s="104" customFormat="1" ht="19.95" customHeight="1">
      <c r="A57" s="97">
        <v>33</v>
      </c>
      <c r="B57" s="98" t="s">
        <v>5071</v>
      </c>
      <c r="C57" s="98" t="s">
        <v>6040</v>
      </c>
      <c r="D57" s="99" t="s">
        <v>808</v>
      </c>
      <c r="E57" s="99" t="s">
        <v>6073</v>
      </c>
      <c r="F57" s="100" t="s">
        <v>6074</v>
      </c>
      <c r="G57" s="100" t="s">
        <v>6075</v>
      </c>
      <c r="H57" s="101" t="s">
        <v>6076</v>
      </c>
      <c r="I57" s="98">
        <v>1</v>
      </c>
      <c r="J57" s="98">
        <v>1</v>
      </c>
      <c r="K57" s="99" t="s">
        <v>467</v>
      </c>
      <c r="L57" s="98" t="s">
        <v>569</v>
      </c>
      <c r="M57" s="66">
        <v>2015</v>
      </c>
      <c r="N57" s="102" t="s">
        <v>6077</v>
      </c>
      <c r="O57" s="103"/>
    </row>
    <row r="58" spans="1:15" s="104" customFormat="1" ht="19.95" customHeight="1">
      <c r="A58" s="97">
        <v>51</v>
      </c>
      <c r="B58" s="98" t="s">
        <v>5071</v>
      </c>
      <c r="C58" s="98" t="s">
        <v>1649</v>
      </c>
      <c r="D58" s="99" t="s">
        <v>6078</v>
      </c>
      <c r="E58" s="99" t="s">
        <v>6079</v>
      </c>
      <c r="F58" s="100" t="s">
        <v>6080</v>
      </c>
      <c r="G58" s="100" t="s">
        <v>6081</v>
      </c>
      <c r="H58" s="101" t="s">
        <v>6082</v>
      </c>
      <c r="I58" s="98">
        <v>1</v>
      </c>
      <c r="J58" s="98">
        <v>1</v>
      </c>
      <c r="K58" s="99" t="s">
        <v>6083</v>
      </c>
      <c r="L58" s="98" t="s">
        <v>569</v>
      </c>
      <c r="M58" s="66">
        <v>2015</v>
      </c>
      <c r="N58" s="102" t="s">
        <v>6084</v>
      </c>
      <c r="O58" s="103"/>
    </row>
    <row r="59" spans="1:15" s="104" customFormat="1" ht="19.95" customHeight="1">
      <c r="A59" s="105">
        <v>1</v>
      </c>
      <c r="B59" s="106" t="s">
        <v>5071</v>
      </c>
      <c r="C59" s="106" t="s">
        <v>1649</v>
      </c>
      <c r="D59" s="107" t="s">
        <v>6085</v>
      </c>
      <c r="E59" s="106" t="s">
        <v>6086</v>
      </c>
      <c r="F59" s="107" t="s">
        <v>6087</v>
      </c>
      <c r="G59" s="108">
        <v>9781466681880</v>
      </c>
      <c r="H59" s="108" t="s">
        <v>6088</v>
      </c>
      <c r="I59" s="109">
        <v>1</v>
      </c>
      <c r="J59" s="109">
        <v>1</v>
      </c>
      <c r="K59" s="106" t="s">
        <v>6089</v>
      </c>
      <c r="L59" s="106" t="s">
        <v>569</v>
      </c>
      <c r="M59" s="110">
        <v>2015</v>
      </c>
      <c r="N59" s="111" t="s">
        <v>6090</v>
      </c>
      <c r="O59" s="112" t="s">
        <v>5907</v>
      </c>
    </row>
    <row r="60" spans="1:15" s="104" customFormat="1" ht="19.95" customHeight="1">
      <c r="A60" s="97">
        <v>1</v>
      </c>
      <c r="B60" s="98" t="s">
        <v>5071</v>
      </c>
      <c r="C60" s="98" t="s">
        <v>6091</v>
      </c>
      <c r="D60" s="99" t="s">
        <v>150</v>
      </c>
      <c r="E60" s="99" t="s">
        <v>6092</v>
      </c>
      <c r="F60" s="100" t="s">
        <v>6093</v>
      </c>
      <c r="G60" s="100" t="s">
        <v>6094</v>
      </c>
      <c r="H60" s="101" t="s">
        <v>6095</v>
      </c>
      <c r="I60" s="98">
        <v>1</v>
      </c>
      <c r="J60" s="98">
        <v>1</v>
      </c>
      <c r="K60" s="99" t="s">
        <v>6096</v>
      </c>
      <c r="L60" s="98" t="s">
        <v>569</v>
      </c>
      <c r="M60" s="66">
        <v>2016</v>
      </c>
      <c r="N60" s="102" t="s">
        <v>6097</v>
      </c>
      <c r="O60" s="103"/>
    </row>
    <row r="61" spans="1:15" s="104" customFormat="1" ht="19.95" customHeight="1">
      <c r="A61" s="97">
        <v>11</v>
      </c>
      <c r="B61" s="98" t="s">
        <v>5071</v>
      </c>
      <c r="C61" s="98" t="s">
        <v>6091</v>
      </c>
      <c r="D61" s="99" t="s">
        <v>508</v>
      </c>
      <c r="E61" s="99" t="s">
        <v>6098</v>
      </c>
      <c r="F61" s="100" t="s">
        <v>6099</v>
      </c>
      <c r="G61" s="100" t="s">
        <v>6100</v>
      </c>
      <c r="H61" s="101" t="s">
        <v>6101</v>
      </c>
      <c r="I61" s="98">
        <v>1</v>
      </c>
      <c r="J61" s="98">
        <v>1</v>
      </c>
      <c r="K61" s="99" t="s">
        <v>6102</v>
      </c>
      <c r="L61" s="98" t="s">
        <v>569</v>
      </c>
      <c r="M61" s="66">
        <v>2016</v>
      </c>
      <c r="N61" s="102" t="s">
        <v>6103</v>
      </c>
      <c r="O61" s="103"/>
    </row>
    <row r="62" spans="1:15" s="104" customFormat="1" ht="19.95" customHeight="1">
      <c r="A62" s="97">
        <v>19</v>
      </c>
      <c r="B62" s="98" t="s">
        <v>5071</v>
      </c>
      <c r="C62" s="98" t="s">
        <v>6091</v>
      </c>
      <c r="D62" s="99" t="s">
        <v>2059</v>
      </c>
      <c r="E62" s="99" t="s">
        <v>6104</v>
      </c>
      <c r="F62" s="100" t="s">
        <v>6105</v>
      </c>
      <c r="G62" s="100" t="s">
        <v>6106</v>
      </c>
      <c r="H62" s="101" t="s">
        <v>6107</v>
      </c>
      <c r="I62" s="98">
        <v>1</v>
      </c>
      <c r="J62" s="98">
        <v>1</v>
      </c>
      <c r="K62" s="99" t="s">
        <v>6108</v>
      </c>
      <c r="L62" s="114" t="s">
        <v>569</v>
      </c>
      <c r="M62" s="66">
        <v>2015</v>
      </c>
      <c r="N62" s="102" t="s">
        <v>6109</v>
      </c>
      <c r="O62" s="103"/>
    </row>
    <row r="63" spans="1:15" s="104" customFormat="1" ht="19.95" customHeight="1">
      <c r="A63" s="97">
        <v>34</v>
      </c>
      <c r="B63" s="98" t="s">
        <v>5071</v>
      </c>
      <c r="C63" s="98" t="s">
        <v>6091</v>
      </c>
      <c r="D63" s="99" t="s">
        <v>1954</v>
      </c>
      <c r="E63" s="99" t="s">
        <v>6110</v>
      </c>
      <c r="F63" s="100" t="s">
        <v>6111</v>
      </c>
      <c r="G63" s="100" t="s">
        <v>6112</v>
      </c>
      <c r="H63" s="101" t="s">
        <v>6113</v>
      </c>
      <c r="I63" s="98">
        <v>1</v>
      </c>
      <c r="J63" s="98">
        <v>1</v>
      </c>
      <c r="K63" s="99" t="s">
        <v>2052</v>
      </c>
      <c r="L63" s="98" t="s">
        <v>569</v>
      </c>
      <c r="M63" s="66">
        <v>2015</v>
      </c>
      <c r="N63" s="102" t="s">
        <v>6114</v>
      </c>
      <c r="O63" s="103"/>
    </row>
    <row r="64" spans="1:15" s="104" customFormat="1" ht="19.95" customHeight="1">
      <c r="A64" s="97">
        <v>52</v>
      </c>
      <c r="B64" s="98" t="s">
        <v>5413</v>
      </c>
      <c r="C64" s="98" t="s">
        <v>6115</v>
      </c>
      <c r="D64" s="99" t="s">
        <v>4960</v>
      </c>
      <c r="E64" s="99" t="s">
        <v>6116</v>
      </c>
      <c r="F64" s="100" t="s">
        <v>6117</v>
      </c>
      <c r="G64" s="100" t="s">
        <v>6118</v>
      </c>
      <c r="H64" s="101" t="s">
        <v>6119</v>
      </c>
      <c r="I64" s="98">
        <v>1</v>
      </c>
      <c r="J64" s="98">
        <v>1</v>
      </c>
      <c r="K64" s="99" t="s">
        <v>6120</v>
      </c>
      <c r="L64" s="98" t="s">
        <v>561</v>
      </c>
      <c r="M64" s="66">
        <v>2016</v>
      </c>
      <c r="N64" s="102" t="s">
        <v>6121</v>
      </c>
      <c r="O64" s="103"/>
    </row>
    <row r="65" spans="1:15" s="104" customFormat="1" ht="19.95" customHeight="1">
      <c r="A65" s="97">
        <v>53</v>
      </c>
      <c r="B65" s="98" t="s">
        <v>5413</v>
      </c>
      <c r="C65" s="98" t="s">
        <v>6115</v>
      </c>
      <c r="D65" s="99" t="s">
        <v>6122</v>
      </c>
      <c r="E65" s="99" t="s">
        <v>504</v>
      </c>
      <c r="F65" s="100" t="s">
        <v>6123</v>
      </c>
      <c r="G65" s="100" t="s">
        <v>6124</v>
      </c>
      <c r="H65" s="101" t="s">
        <v>6125</v>
      </c>
      <c r="I65" s="98">
        <v>1</v>
      </c>
      <c r="J65" s="98">
        <v>1</v>
      </c>
      <c r="K65" s="99" t="s">
        <v>6126</v>
      </c>
      <c r="L65" s="98" t="s">
        <v>561</v>
      </c>
      <c r="M65" s="66">
        <v>2016</v>
      </c>
      <c r="N65" s="102" t="s">
        <v>6127</v>
      </c>
      <c r="O65" s="103"/>
    </row>
    <row r="66" spans="1:15" s="104" customFormat="1" ht="19.95" customHeight="1">
      <c r="A66" s="97">
        <v>54</v>
      </c>
      <c r="B66" s="98" t="s">
        <v>5413</v>
      </c>
      <c r="C66" s="98" t="s">
        <v>6115</v>
      </c>
      <c r="D66" s="99" t="s">
        <v>5624</v>
      </c>
      <c r="E66" s="99" t="s">
        <v>6128</v>
      </c>
      <c r="F66" s="100" t="s">
        <v>6129</v>
      </c>
      <c r="G66" s="100" t="s">
        <v>6130</v>
      </c>
      <c r="H66" s="101" t="s">
        <v>6131</v>
      </c>
      <c r="I66" s="98">
        <v>1</v>
      </c>
      <c r="J66" s="98">
        <v>1</v>
      </c>
      <c r="K66" s="99" t="s">
        <v>6132</v>
      </c>
      <c r="L66" s="98" t="s">
        <v>561</v>
      </c>
      <c r="M66" s="66">
        <v>2016</v>
      </c>
      <c r="N66" s="102" t="s">
        <v>6133</v>
      </c>
      <c r="O66" s="103"/>
    </row>
    <row r="67" spans="1:15" s="104" customFormat="1" ht="19.95" customHeight="1">
      <c r="A67" s="97">
        <v>55</v>
      </c>
      <c r="B67" s="98" t="s">
        <v>5413</v>
      </c>
      <c r="C67" s="98" t="s">
        <v>6115</v>
      </c>
      <c r="D67" s="99" t="s">
        <v>5624</v>
      </c>
      <c r="E67" s="99" t="s">
        <v>6134</v>
      </c>
      <c r="F67" s="100" t="s">
        <v>6135</v>
      </c>
      <c r="G67" s="100" t="s">
        <v>6136</v>
      </c>
      <c r="H67" s="101" t="s">
        <v>6137</v>
      </c>
      <c r="I67" s="98">
        <v>1</v>
      </c>
      <c r="J67" s="98">
        <v>1</v>
      </c>
      <c r="K67" s="99" t="s">
        <v>6132</v>
      </c>
      <c r="L67" s="98" t="s">
        <v>561</v>
      </c>
      <c r="M67" s="66">
        <v>2016</v>
      </c>
      <c r="N67" s="102" t="s">
        <v>6138</v>
      </c>
      <c r="O67" s="103"/>
    </row>
    <row r="68" spans="1:15" s="104" customFormat="1" ht="19.95" customHeight="1">
      <c r="A68" s="97">
        <v>56</v>
      </c>
      <c r="B68" s="98" t="s">
        <v>5413</v>
      </c>
      <c r="C68" s="98" t="s">
        <v>6115</v>
      </c>
      <c r="D68" s="99" t="s">
        <v>504</v>
      </c>
      <c r="E68" s="99" t="s">
        <v>6139</v>
      </c>
      <c r="F68" s="100" t="s">
        <v>6140</v>
      </c>
      <c r="G68" s="100" t="s">
        <v>6141</v>
      </c>
      <c r="H68" s="101" t="s">
        <v>6142</v>
      </c>
      <c r="I68" s="98">
        <v>1</v>
      </c>
      <c r="J68" s="98">
        <v>1</v>
      </c>
      <c r="K68" s="99" t="s">
        <v>6143</v>
      </c>
      <c r="L68" s="98" t="s">
        <v>561</v>
      </c>
      <c r="M68" s="66">
        <v>2016</v>
      </c>
      <c r="N68" s="102" t="s">
        <v>6144</v>
      </c>
      <c r="O68" s="103"/>
    </row>
    <row r="69" spans="1:15" s="104" customFormat="1" ht="19.95" customHeight="1">
      <c r="A69" s="97">
        <v>60</v>
      </c>
      <c r="B69" s="98" t="s">
        <v>5413</v>
      </c>
      <c r="C69" s="98" t="s">
        <v>6115</v>
      </c>
      <c r="D69" s="99" t="s">
        <v>6145</v>
      </c>
      <c r="E69" s="99" t="s">
        <v>6146</v>
      </c>
      <c r="F69" s="100" t="s">
        <v>6147</v>
      </c>
      <c r="G69" s="100" t="s">
        <v>6148</v>
      </c>
      <c r="H69" s="101" t="s">
        <v>6149</v>
      </c>
      <c r="I69" s="98">
        <v>1</v>
      </c>
      <c r="J69" s="98">
        <v>1</v>
      </c>
      <c r="K69" s="99" t="s">
        <v>6150</v>
      </c>
      <c r="L69" s="98" t="s">
        <v>561</v>
      </c>
      <c r="M69" s="66">
        <v>2016</v>
      </c>
      <c r="N69" s="102" t="s">
        <v>6151</v>
      </c>
      <c r="O69" s="103"/>
    </row>
    <row r="70" spans="1:15" s="104" customFormat="1" ht="19.95" customHeight="1">
      <c r="A70" s="97">
        <v>61</v>
      </c>
      <c r="B70" s="98" t="s">
        <v>5413</v>
      </c>
      <c r="C70" s="98" t="s">
        <v>6115</v>
      </c>
      <c r="D70" s="99" t="s">
        <v>6152</v>
      </c>
      <c r="E70" s="99" t="s">
        <v>6153</v>
      </c>
      <c r="F70" s="100" t="s">
        <v>6154</v>
      </c>
      <c r="G70" s="100" t="s">
        <v>6155</v>
      </c>
      <c r="H70" s="101" t="s">
        <v>6156</v>
      </c>
      <c r="I70" s="98">
        <v>1</v>
      </c>
      <c r="J70" s="98">
        <v>1</v>
      </c>
      <c r="K70" s="99" t="s">
        <v>6157</v>
      </c>
      <c r="L70" s="98" t="s">
        <v>561</v>
      </c>
      <c r="M70" s="66">
        <v>2016</v>
      </c>
      <c r="N70" s="102" t="s">
        <v>6158</v>
      </c>
      <c r="O70" s="103"/>
    </row>
    <row r="71" spans="1:15" s="104" customFormat="1" ht="19.95" customHeight="1">
      <c r="A71" s="97">
        <v>63</v>
      </c>
      <c r="B71" s="98" t="s">
        <v>5413</v>
      </c>
      <c r="C71" s="98" t="s">
        <v>6115</v>
      </c>
      <c r="D71" s="99" t="s">
        <v>6159</v>
      </c>
      <c r="E71" s="99" t="s">
        <v>6160</v>
      </c>
      <c r="F71" s="100" t="s">
        <v>6161</v>
      </c>
      <c r="G71" s="100" t="s">
        <v>6162</v>
      </c>
      <c r="H71" s="101" t="s">
        <v>6163</v>
      </c>
      <c r="I71" s="98">
        <v>1</v>
      </c>
      <c r="J71" s="98">
        <v>1</v>
      </c>
      <c r="K71" s="99" t="s">
        <v>6164</v>
      </c>
      <c r="L71" s="98" t="s">
        <v>561</v>
      </c>
      <c r="M71" s="66">
        <v>2016</v>
      </c>
      <c r="N71" s="102" t="s">
        <v>6165</v>
      </c>
      <c r="O71" s="103"/>
    </row>
    <row r="72" spans="1:15" s="104" customFormat="1" ht="19.95" customHeight="1">
      <c r="A72" s="97">
        <v>62</v>
      </c>
      <c r="B72" s="98" t="s">
        <v>5413</v>
      </c>
      <c r="C72" s="98" t="s">
        <v>6115</v>
      </c>
      <c r="D72" s="99" t="s">
        <v>6166</v>
      </c>
      <c r="E72" s="99" t="s">
        <v>5434</v>
      </c>
      <c r="F72" s="100" t="s">
        <v>6167</v>
      </c>
      <c r="G72" s="100" t="s">
        <v>6168</v>
      </c>
      <c r="H72" s="101" t="s">
        <v>6169</v>
      </c>
      <c r="I72" s="98">
        <v>1</v>
      </c>
      <c r="J72" s="98">
        <v>1</v>
      </c>
      <c r="K72" s="99" t="s">
        <v>6170</v>
      </c>
      <c r="L72" s="98" t="s">
        <v>561</v>
      </c>
      <c r="M72" s="66">
        <v>2015</v>
      </c>
      <c r="N72" s="102" t="s">
        <v>6171</v>
      </c>
      <c r="O72" s="103"/>
    </row>
    <row r="73" spans="1:15" s="104" customFormat="1" ht="19.95" customHeight="1">
      <c r="A73" s="97">
        <v>57</v>
      </c>
      <c r="B73" s="98" t="s">
        <v>5413</v>
      </c>
      <c r="C73" s="98" t="s">
        <v>1697</v>
      </c>
      <c r="D73" s="99" t="s">
        <v>504</v>
      </c>
      <c r="E73" s="99" t="s">
        <v>6172</v>
      </c>
      <c r="F73" s="100" t="s">
        <v>6173</v>
      </c>
      <c r="G73" s="100" t="s">
        <v>6174</v>
      </c>
      <c r="H73" s="101" t="s">
        <v>6175</v>
      </c>
      <c r="I73" s="98">
        <v>1</v>
      </c>
      <c r="J73" s="98">
        <v>1</v>
      </c>
      <c r="K73" s="99" t="s">
        <v>6176</v>
      </c>
      <c r="L73" s="98" t="s">
        <v>561</v>
      </c>
      <c r="M73" s="66">
        <v>2013</v>
      </c>
      <c r="N73" s="102" t="s">
        <v>6177</v>
      </c>
      <c r="O73" s="103"/>
    </row>
    <row r="74" spans="1:15" s="104" customFormat="1" ht="19.95" customHeight="1">
      <c r="A74" s="97">
        <v>58</v>
      </c>
      <c r="B74" s="98" t="s">
        <v>5413</v>
      </c>
      <c r="C74" s="98" t="s">
        <v>1697</v>
      </c>
      <c r="D74" s="99" t="s">
        <v>6178</v>
      </c>
      <c r="E74" s="99" t="s">
        <v>6179</v>
      </c>
      <c r="F74" s="100" t="s">
        <v>6180</v>
      </c>
      <c r="G74" s="100" t="s">
        <v>6181</v>
      </c>
      <c r="H74" s="101" t="s">
        <v>6182</v>
      </c>
      <c r="I74" s="98">
        <v>1</v>
      </c>
      <c r="J74" s="98">
        <v>1</v>
      </c>
      <c r="K74" s="99" t="s">
        <v>6183</v>
      </c>
      <c r="L74" s="98" t="s">
        <v>561</v>
      </c>
      <c r="M74" s="66">
        <v>2012</v>
      </c>
      <c r="N74" s="102" t="s">
        <v>6184</v>
      </c>
      <c r="O74" s="103"/>
    </row>
    <row r="75" spans="1:15" s="104" customFormat="1" ht="19.95" customHeight="1">
      <c r="A75" s="97">
        <v>59</v>
      </c>
      <c r="B75" s="98" t="s">
        <v>5413</v>
      </c>
      <c r="C75" s="98" t="s">
        <v>1697</v>
      </c>
      <c r="D75" s="99" t="s">
        <v>6185</v>
      </c>
      <c r="E75" s="99" t="s">
        <v>6186</v>
      </c>
      <c r="F75" s="100" t="s">
        <v>6187</v>
      </c>
      <c r="G75" s="100" t="s">
        <v>6188</v>
      </c>
      <c r="H75" s="101" t="s">
        <v>6189</v>
      </c>
      <c r="I75" s="98">
        <v>1</v>
      </c>
      <c r="J75" s="98">
        <v>1</v>
      </c>
      <c r="K75" s="99" t="s">
        <v>1261</v>
      </c>
      <c r="L75" s="98" t="s">
        <v>561</v>
      </c>
      <c r="M75" s="66">
        <v>2011</v>
      </c>
      <c r="N75" s="102" t="s">
        <v>6190</v>
      </c>
      <c r="O75" s="103"/>
    </row>
    <row r="76" spans="1:15" s="104" customFormat="1" ht="19.95" customHeight="1">
      <c r="A76" s="97">
        <v>64</v>
      </c>
      <c r="B76" s="98" t="s">
        <v>571</v>
      </c>
      <c r="C76" s="98" t="s">
        <v>1669</v>
      </c>
      <c r="D76" s="99" t="s">
        <v>6191</v>
      </c>
      <c r="E76" s="99" t="s">
        <v>6192</v>
      </c>
      <c r="F76" s="100" t="s">
        <v>6193</v>
      </c>
      <c r="G76" s="100" t="s">
        <v>6194</v>
      </c>
      <c r="H76" s="101" t="s">
        <v>6195</v>
      </c>
      <c r="I76" s="98">
        <v>1</v>
      </c>
      <c r="J76" s="98">
        <v>1</v>
      </c>
      <c r="K76" s="99" t="s">
        <v>1809</v>
      </c>
      <c r="L76" s="98" t="s">
        <v>569</v>
      </c>
      <c r="M76" s="66">
        <v>2016</v>
      </c>
      <c r="N76" s="102" t="s">
        <v>6196</v>
      </c>
      <c r="O76" s="103"/>
    </row>
    <row r="77" spans="1:15" s="104" customFormat="1" ht="19.95" customHeight="1">
      <c r="A77" s="97">
        <v>68</v>
      </c>
      <c r="B77" s="98" t="s">
        <v>571</v>
      </c>
      <c r="C77" s="98" t="s">
        <v>1669</v>
      </c>
      <c r="D77" s="99" t="s">
        <v>6197</v>
      </c>
      <c r="E77" s="99" t="s">
        <v>6198</v>
      </c>
      <c r="F77" s="100" t="s">
        <v>6199</v>
      </c>
      <c r="G77" s="100" t="s">
        <v>6200</v>
      </c>
      <c r="H77" s="101" t="s">
        <v>6201</v>
      </c>
      <c r="I77" s="98">
        <v>1</v>
      </c>
      <c r="J77" s="98">
        <v>1</v>
      </c>
      <c r="K77" s="99" t="s">
        <v>3326</v>
      </c>
      <c r="L77" s="98" t="s">
        <v>569</v>
      </c>
      <c r="M77" s="66">
        <v>2016</v>
      </c>
      <c r="N77" s="102" t="s">
        <v>6202</v>
      </c>
      <c r="O77" s="103"/>
    </row>
    <row r="78" spans="1:15" s="104" customFormat="1" ht="19.95" customHeight="1">
      <c r="A78" s="97">
        <v>75</v>
      </c>
      <c r="B78" s="98" t="s">
        <v>571</v>
      </c>
      <c r="C78" s="98" t="s">
        <v>1669</v>
      </c>
      <c r="D78" s="99" t="s">
        <v>565</v>
      </c>
      <c r="E78" s="99" t="s">
        <v>6203</v>
      </c>
      <c r="F78" s="100" t="s">
        <v>6204</v>
      </c>
      <c r="G78" s="100" t="s">
        <v>6205</v>
      </c>
      <c r="H78" s="101" t="s">
        <v>6206</v>
      </c>
      <c r="I78" s="98">
        <v>1</v>
      </c>
      <c r="J78" s="98">
        <v>1</v>
      </c>
      <c r="K78" s="99" t="s">
        <v>6207</v>
      </c>
      <c r="L78" s="98" t="s">
        <v>569</v>
      </c>
      <c r="M78" s="66">
        <v>2016</v>
      </c>
      <c r="N78" s="102" t="s">
        <v>6208</v>
      </c>
      <c r="O78" s="103"/>
    </row>
    <row r="79" spans="1:15" s="104" customFormat="1" ht="19.95" customHeight="1">
      <c r="A79" s="97">
        <v>78</v>
      </c>
      <c r="B79" s="98" t="s">
        <v>571</v>
      </c>
      <c r="C79" s="98" t="s">
        <v>1669</v>
      </c>
      <c r="D79" s="99" t="s">
        <v>5529</v>
      </c>
      <c r="E79" s="99" t="s">
        <v>6209</v>
      </c>
      <c r="F79" s="100" t="s">
        <v>6210</v>
      </c>
      <c r="G79" s="100" t="s">
        <v>6211</v>
      </c>
      <c r="H79" s="101" t="s">
        <v>6212</v>
      </c>
      <c r="I79" s="98">
        <v>1</v>
      </c>
      <c r="J79" s="98">
        <v>1</v>
      </c>
      <c r="K79" s="99" t="s">
        <v>6213</v>
      </c>
      <c r="L79" s="98" t="s">
        <v>569</v>
      </c>
      <c r="M79" s="66">
        <v>2016</v>
      </c>
      <c r="N79" s="102" t="s">
        <v>6214</v>
      </c>
      <c r="O79" s="103"/>
    </row>
    <row r="80" spans="1:15" s="104" customFormat="1" ht="19.95" customHeight="1">
      <c r="A80" s="97">
        <v>89</v>
      </c>
      <c r="B80" s="98" t="s">
        <v>571</v>
      </c>
      <c r="C80" s="98" t="s">
        <v>1669</v>
      </c>
      <c r="D80" s="99" t="s">
        <v>6215</v>
      </c>
      <c r="E80" s="99" t="s">
        <v>6216</v>
      </c>
      <c r="F80" s="100" t="s">
        <v>6217</v>
      </c>
      <c r="G80" s="100" t="s">
        <v>6218</v>
      </c>
      <c r="H80" s="101" t="s">
        <v>6219</v>
      </c>
      <c r="I80" s="98">
        <v>1</v>
      </c>
      <c r="J80" s="98">
        <v>1</v>
      </c>
      <c r="K80" s="99" t="s">
        <v>6220</v>
      </c>
      <c r="L80" s="98" t="s">
        <v>569</v>
      </c>
      <c r="M80" s="66">
        <v>2016</v>
      </c>
      <c r="N80" s="102" t="s">
        <v>6221</v>
      </c>
      <c r="O80" s="103"/>
    </row>
    <row r="81" spans="1:15" s="104" customFormat="1" ht="19.95" customHeight="1">
      <c r="A81" s="97">
        <v>90</v>
      </c>
      <c r="B81" s="98" t="s">
        <v>571</v>
      </c>
      <c r="C81" s="98" t="s">
        <v>1669</v>
      </c>
      <c r="D81" s="99" t="s">
        <v>6222</v>
      </c>
      <c r="E81" s="99" t="s">
        <v>6223</v>
      </c>
      <c r="F81" s="100" t="s">
        <v>6224</v>
      </c>
      <c r="G81" s="100" t="s">
        <v>6225</v>
      </c>
      <c r="H81" s="101" t="s">
        <v>6226</v>
      </c>
      <c r="I81" s="98">
        <v>1</v>
      </c>
      <c r="J81" s="98">
        <v>1</v>
      </c>
      <c r="K81" s="99" t="s">
        <v>6227</v>
      </c>
      <c r="L81" s="98" t="s">
        <v>569</v>
      </c>
      <c r="M81" s="66">
        <v>2016</v>
      </c>
      <c r="N81" s="102" t="s">
        <v>6228</v>
      </c>
      <c r="O81" s="103"/>
    </row>
    <row r="82" spans="1:15" s="104" customFormat="1" ht="19.95" customHeight="1">
      <c r="A82" s="97">
        <v>94</v>
      </c>
      <c r="B82" s="98" t="s">
        <v>571</v>
      </c>
      <c r="C82" s="98" t="s">
        <v>1669</v>
      </c>
      <c r="D82" s="99" t="s">
        <v>1821</v>
      </c>
      <c r="E82" s="99" t="s">
        <v>6229</v>
      </c>
      <c r="F82" s="100" t="s">
        <v>6230</v>
      </c>
      <c r="G82" s="100" t="s">
        <v>6231</v>
      </c>
      <c r="H82" s="101" t="s">
        <v>6232</v>
      </c>
      <c r="I82" s="98">
        <v>1</v>
      </c>
      <c r="J82" s="98">
        <v>1</v>
      </c>
      <c r="K82" s="99" t="s">
        <v>6233</v>
      </c>
      <c r="L82" s="98" t="s">
        <v>569</v>
      </c>
      <c r="M82" s="66">
        <v>2016</v>
      </c>
      <c r="N82" s="102" t="s">
        <v>6234</v>
      </c>
      <c r="O82" s="103"/>
    </row>
    <row r="83" spans="1:15" s="104" customFormat="1" ht="19.95" customHeight="1">
      <c r="A83" s="97">
        <v>95</v>
      </c>
      <c r="B83" s="98" t="s">
        <v>571</v>
      </c>
      <c r="C83" s="98" t="s">
        <v>1669</v>
      </c>
      <c r="D83" s="99" t="s">
        <v>5529</v>
      </c>
      <c r="E83" s="99" t="s">
        <v>6235</v>
      </c>
      <c r="F83" s="100" t="s">
        <v>6236</v>
      </c>
      <c r="G83" s="100" t="s">
        <v>6237</v>
      </c>
      <c r="H83" s="101" t="s">
        <v>6238</v>
      </c>
      <c r="I83" s="98">
        <v>1</v>
      </c>
      <c r="J83" s="98">
        <v>1</v>
      </c>
      <c r="K83" s="99" t="s">
        <v>1196</v>
      </c>
      <c r="L83" s="98" t="s">
        <v>569</v>
      </c>
      <c r="M83" s="66">
        <v>2016</v>
      </c>
      <c r="N83" s="102" t="s">
        <v>6239</v>
      </c>
      <c r="O83" s="103"/>
    </row>
    <row r="84" spans="1:15" s="104" customFormat="1" ht="19.95" customHeight="1">
      <c r="A84" s="97">
        <v>99</v>
      </c>
      <c r="B84" s="98" t="s">
        <v>571</v>
      </c>
      <c r="C84" s="98" t="s">
        <v>1669</v>
      </c>
      <c r="D84" s="99" t="s">
        <v>808</v>
      </c>
      <c r="E84" s="99" t="s">
        <v>6240</v>
      </c>
      <c r="F84" s="100" t="s">
        <v>6241</v>
      </c>
      <c r="G84" s="100" t="s">
        <v>6242</v>
      </c>
      <c r="H84" s="101" t="s">
        <v>6243</v>
      </c>
      <c r="I84" s="98">
        <v>1</v>
      </c>
      <c r="J84" s="98">
        <v>1</v>
      </c>
      <c r="K84" s="99" t="s">
        <v>6244</v>
      </c>
      <c r="L84" s="98" t="s">
        <v>569</v>
      </c>
      <c r="M84" s="66">
        <v>2016</v>
      </c>
      <c r="N84" s="102" t="s">
        <v>6245</v>
      </c>
      <c r="O84" s="103"/>
    </row>
    <row r="85" spans="1:15" s="104" customFormat="1" ht="19.95" customHeight="1">
      <c r="A85" s="97">
        <v>65</v>
      </c>
      <c r="B85" s="98" t="s">
        <v>571</v>
      </c>
      <c r="C85" s="98" t="s">
        <v>1669</v>
      </c>
      <c r="D85" s="99" t="s">
        <v>1793</v>
      </c>
      <c r="E85" s="99" t="s">
        <v>6246</v>
      </c>
      <c r="F85" s="100" t="s">
        <v>6247</v>
      </c>
      <c r="G85" s="100" t="s">
        <v>6248</v>
      </c>
      <c r="H85" s="101" t="s">
        <v>6249</v>
      </c>
      <c r="I85" s="98">
        <v>1</v>
      </c>
      <c r="J85" s="98">
        <v>1</v>
      </c>
      <c r="K85" s="99" t="s">
        <v>3900</v>
      </c>
      <c r="L85" s="98" t="s">
        <v>569</v>
      </c>
      <c r="M85" s="66">
        <v>2015</v>
      </c>
      <c r="N85" s="102" t="s">
        <v>6250</v>
      </c>
      <c r="O85" s="103"/>
    </row>
    <row r="86" spans="1:15" s="104" customFormat="1" ht="19.95" customHeight="1">
      <c r="A86" s="97">
        <v>86</v>
      </c>
      <c r="B86" s="98" t="s">
        <v>571</v>
      </c>
      <c r="C86" s="98" t="s">
        <v>1669</v>
      </c>
      <c r="D86" s="99" t="s">
        <v>1793</v>
      </c>
      <c r="E86" s="99" t="s">
        <v>6251</v>
      </c>
      <c r="F86" s="100" t="s">
        <v>6252</v>
      </c>
      <c r="G86" s="100" t="s">
        <v>6253</v>
      </c>
      <c r="H86" s="101" t="s">
        <v>6254</v>
      </c>
      <c r="I86" s="98">
        <v>1</v>
      </c>
      <c r="J86" s="98">
        <v>1</v>
      </c>
      <c r="K86" s="99" t="s">
        <v>6255</v>
      </c>
      <c r="L86" s="98" t="s">
        <v>569</v>
      </c>
      <c r="M86" s="66">
        <v>2015</v>
      </c>
      <c r="N86" s="102" t="s">
        <v>6256</v>
      </c>
      <c r="O86" s="103"/>
    </row>
    <row r="87" spans="1:15" s="104" customFormat="1" ht="19.95" customHeight="1">
      <c r="A87" s="97">
        <v>100</v>
      </c>
      <c r="B87" s="98" t="s">
        <v>571</v>
      </c>
      <c r="C87" s="98" t="s">
        <v>1669</v>
      </c>
      <c r="D87" s="99" t="s">
        <v>6257</v>
      </c>
      <c r="E87" s="99" t="s">
        <v>6258</v>
      </c>
      <c r="F87" s="100" t="s">
        <v>6259</v>
      </c>
      <c r="G87" s="100" t="s">
        <v>6260</v>
      </c>
      <c r="H87" s="101" t="s">
        <v>6261</v>
      </c>
      <c r="I87" s="98">
        <v>1</v>
      </c>
      <c r="J87" s="98">
        <v>1</v>
      </c>
      <c r="K87" s="99" t="s">
        <v>6262</v>
      </c>
      <c r="L87" s="98" t="s">
        <v>569</v>
      </c>
      <c r="M87" s="66">
        <v>2015</v>
      </c>
      <c r="N87" s="102" t="s">
        <v>6263</v>
      </c>
      <c r="O87" s="103"/>
    </row>
    <row r="88" spans="1:15" s="104" customFormat="1" ht="19.95" customHeight="1">
      <c r="A88" s="97">
        <v>105</v>
      </c>
      <c r="B88" s="98" t="s">
        <v>571</v>
      </c>
      <c r="C88" s="98" t="s">
        <v>1669</v>
      </c>
      <c r="D88" s="99" t="s">
        <v>6264</v>
      </c>
      <c r="E88" s="99" t="s">
        <v>6265</v>
      </c>
      <c r="F88" s="100" t="s">
        <v>6266</v>
      </c>
      <c r="G88" s="100" t="s">
        <v>6267</v>
      </c>
      <c r="H88" s="101" t="s">
        <v>6268</v>
      </c>
      <c r="I88" s="98">
        <v>1</v>
      </c>
      <c r="J88" s="98">
        <v>1</v>
      </c>
      <c r="K88" s="99" t="s">
        <v>6269</v>
      </c>
      <c r="L88" s="98" t="s">
        <v>569</v>
      </c>
      <c r="M88" s="66">
        <v>2012</v>
      </c>
      <c r="N88" s="102" t="s">
        <v>6270</v>
      </c>
      <c r="O88" s="103"/>
    </row>
    <row r="89" spans="1:15" s="104" customFormat="1" ht="19.95" customHeight="1">
      <c r="A89" s="97">
        <v>66</v>
      </c>
      <c r="B89" s="98" t="s">
        <v>571</v>
      </c>
      <c r="C89" s="98" t="s">
        <v>6271</v>
      </c>
      <c r="D89" s="99" t="s">
        <v>6272</v>
      </c>
      <c r="E89" s="99" t="s">
        <v>6273</v>
      </c>
      <c r="F89" s="100" t="s">
        <v>6274</v>
      </c>
      <c r="G89" s="100" t="s">
        <v>6275</v>
      </c>
      <c r="H89" s="101" t="s">
        <v>6276</v>
      </c>
      <c r="I89" s="98">
        <v>1</v>
      </c>
      <c r="J89" s="98">
        <v>1</v>
      </c>
      <c r="K89" s="99" t="s">
        <v>6277</v>
      </c>
      <c r="L89" s="98" t="s">
        <v>569</v>
      </c>
      <c r="M89" s="115">
        <v>2016</v>
      </c>
      <c r="N89" s="102" t="s">
        <v>6278</v>
      </c>
      <c r="O89" s="103"/>
    </row>
    <row r="90" spans="1:15" s="104" customFormat="1" ht="19.95" customHeight="1">
      <c r="A90" s="97">
        <v>77</v>
      </c>
      <c r="B90" s="98" t="s">
        <v>571</v>
      </c>
      <c r="C90" s="98" t="s">
        <v>6271</v>
      </c>
      <c r="D90" s="99" t="s">
        <v>6279</v>
      </c>
      <c r="E90" s="99" t="s">
        <v>6280</v>
      </c>
      <c r="F90" s="100" t="s">
        <v>6281</v>
      </c>
      <c r="G90" s="100" t="s">
        <v>6282</v>
      </c>
      <c r="H90" s="101" t="s">
        <v>6283</v>
      </c>
      <c r="I90" s="98">
        <v>1</v>
      </c>
      <c r="J90" s="98">
        <v>1</v>
      </c>
      <c r="K90" s="99" t="s">
        <v>6284</v>
      </c>
      <c r="L90" s="98" t="s">
        <v>569</v>
      </c>
      <c r="M90" s="66">
        <v>2016</v>
      </c>
      <c r="N90" s="102" t="s">
        <v>6285</v>
      </c>
      <c r="O90" s="103"/>
    </row>
    <row r="91" spans="1:15" s="104" customFormat="1" ht="19.95" customHeight="1">
      <c r="A91" s="97">
        <v>85</v>
      </c>
      <c r="B91" s="98" t="s">
        <v>571</v>
      </c>
      <c r="C91" s="98" t="s">
        <v>6271</v>
      </c>
      <c r="D91" s="99" t="s">
        <v>1064</v>
      </c>
      <c r="E91" s="99" t="s">
        <v>6286</v>
      </c>
      <c r="F91" s="100" t="s">
        <v>6287</v>
      </c>
      <c r="G91" s="100" t="s">
        <v>6288</v>
      </c>
      <c r="H91" s="101" t="s">
        <v>6289</v>
      </c>
      <c r="I91" s="98">
        <v>1</v>
      </c>
      <c r="J91" s="98">
        <v>1</v>
      </c>
      <c r="K91" s="99" t="s">
        <v>6290</v>
      </c>
      <c r="L91" s="98" t="s">
        <v>569</v>
      </c>
      <c r="M91" s="66">
        <v>2016</v>
      </c>
      <c r="N91" s="102" t="s">
        <v>6291</v>
      </c>
      <c r="O91" s="103"/>
    </row>
    <row r="92" spans="1:15" s="104" customFormat="1" ht="19.95" customHeight="1">
      <c r="A92" s="97">
        <v>88</v>
      </c>
      <c r="B92" s="98" t="s">
        <v>571</v>
      </c>
      <c r="C92" s="98" t="s">
        <v>6271</v>
      </c>
      <c r="D92" s="99" t="s">
        <v>6292</v>
      </c>
      <c r="E92" s="99" t="s">
        <v>6293</v>
      </c>
      <c r="F92" s="100" t="s">
        <v>6294</v>
      </c>
      <c r="G92" s="100" t="s">
        <v>6295</v>
      </c>
      <c r="H92" s="101" t="s">
        <v>6296</v>
      </c>
      <c r="I92" s="98">
        <v>1</v>
      </c>
      <c r="J92" s="98">
        <v>1</v>
      </c>
      <c r="K92" s="99" t="s">
        <v>6297</v>
      </c>
      <c r="L92" s="98" t="s">
        <v>569</v>
      </c>
      <c r="M92" s="66">
        <v>2016</v>
      </c>
      <c r="N92" s="102" t="s">
        <v>6298</v>
      </c>
      <c r="O92" s="103"/>
    </row>
    <row r="93" spans="1:15" s="104" customFormat="1" ht="19.95" customHeight="1">
      <c r="A93" s="97">
        <v>91</v>
      </c>
      <c r="B93" s="98" t="s">
        <v>571</v>
      </c>
      <c r="C93" s="98" t="s">
        <v>6271</v>
      </c>
      <c r="D93" s="99" t="s">
        <v>495</v>
      </c>
      <c r="E93" s="99" t="s">
        <v>6299</v>
      </c>
      <c r="F93" s="100" t="s">
        <v>6300</v>
      </c>
      <c r="G93" s="100" t="s">
        <v>6301</v>
      </c>
      <c r="H93" s="101" t="s">
        <v>6302</v>
      </c>
      <c r="I93" s="98">
        <v>1</v>
      </c>
      <c r="J93" s="98">
        <v>1</v>
      </c>
      <c r="K93" s="99" t="s">
        <v>6303</v>
      </c>
      <c r="L93" s="98" t="s">
        <v>569</v>
      </c>
      <c r="M93" s="66">
        <v>2016</v>
      </c>
      <c r="N93" s="102" t="s">
        <v>6304</v>
      </c>
      <c r="O93" s="103"/>
    </row>
    <row r="94" spans="1:15" s="104" customFormat="1" ht="19.95" customHeight="1">
      <c r="A94" s="97">
        <v>104</v>
      </c>
      <c r="B94" s="98" t="s">
        <v>571</v>
      </c>
      <c r="C94" s="98" t="s">
        <v>6271</v>
      </c>
      <c r="D94" s="99" t="s">
        <v>499</v>
      </c>
      <c r="E94" s="99" t="s">
        <v>6305</v>
      </c>
      <c r="F94" s="100" t="s">
        <v>6306</v>
      </c>
      <c r="G94" s="100" t="s">
        <v>6307</v>
      </c>
      <c r="H94" s="101" t="s">
        <v>6308</v>
      </c>
      <c r="I94" s="98">
        <v>1</v>
      </c>
      <c r="J94" s="98">
        <v>1</v>
      </c>
      <c r="K94" s="99" t="s">
        <v>6309</v>
      </c>
      <c r="L94" s="98" t="s">
        <v>569</v>
      </c>
      <c r="M94" s="66">
        <v>2016</v>
      </c>
      <c r="N94" s="102" t="s">
        <v>6310</v>
      </c>
      <c r="O94" s="103"/>
    </row>
    <row r="95" spans="1:15" s="104" customFormat="1" ht="19.95" customHeight="1">
      <c r="A95" s="97">
        <v>106</v>
      </c>
      <c r="B95" s="98" t="s">
        <v>571</v>
      </c>
      <c r="C95" s="98" t="s">
        <v>6271</v>
      </c>
      <c r="D95" s="99" t="s">
        <v>496</v>
      </c>
      <c r="E95" s="99" t="s">
        <v>6311</v>
      </c>
      <c r="F95" s="100" t="s">
        <v>6312</v>
      </c>
      <c r="G95" s="100" t="s">
        <v>6313</v>
      </c>
      <c r="H95" s="101" t="s">
        <v>6314</v>
      </c>
      <c r="I95" s="98">
        <v>1</v>
      </c>
      <c r="J95" s="98">
        <v>1</v>
      </c>
      <c r="K95" s="99" t="s">
        <v>6315</v>
      </c>
      <c r="L95" s="98" t="s">
        <v>6316</v>
      </c>
      <c r="M95" s="66">
        <v>2016</v>
      </c>
      <c r="N95" s="102" t="s">
        <v>6317</v>
      </c>
      <c r="O95" s="103"/>
    </row>
    <row r="96" spans="1:15" s="104" customFormat="1" ht="19.95" customHeight="1">
      <c r="A96" s="105">
        <v>14</v>
      </c>
      <c r="B96" s="106" t="s">
        <v>571</v>
      </c>
      <c r="C96" s="106" t="s">
        <v>6271</v>
      </c>
      <c r="D96" s="107" t="s">
        <v>6318</v>
      </c>
      <c r="E96" s="106" t="s">
        <v>6319</v>
      </c>
      <c r="F96" s="107" t="s">
        <v>6320</v>
      </c>
      <c r="G96" s="108">
        <v>9781522501251</v>
      </c>
      <c r="H96" s="108" t="s">
        <v>6321</v>
      </c>
      <c r="I96" s="109">
        <v>1</v>
      </c>
      <c r="J96" s="109">
        <v>1</v>
      </c>
      <c r="K96" s="98" t="s">
        <v>6322</v>
      </c>
      <c r="L96" s="106" t="s">
        <v>569</v>
      </c>
      <c r="M96" s="110">
        <v>2016</v>
      </c>
      <c r="N96" s="111" t="s">
        <v>6323</v>
      </c>
      <c r="O96" s="112" t="s">
        <v>5901</v>
      </c>
    </row>
    <row r="97" spans="1:15" s="104" customFormat="1" ht="19.95" customHeight="1">
      <c r="A97" s="105">
        <v>15</v>
      </c>
      <c r="B97" s="106" t="s">
        <v>571</v>
      </c>
      <c r="C97" s="106" t="s">
        <v>6271</v>
      </c>
      <c r="D97" s="107">
        <v>510.71</v>
      </c>
      <c r="E97" s="106" t="s">
        <v>6324</v>
      </c>
      <c r="F97" s="107" t="s">
        <v>6325</v>
      </c>
      <c r="G97" s="108">
        <v>9781522501206</v>
      </c>
      <c r="H97" s="108" t="s">
        <v>6326</v>
      </c>
      <c r="I97" s="109">
        <v>1</v>
      </c>
      <c r="J97" s="109">
        <v>1</v>
      </c>
      <c r="K97" s="106" t="s">
        <v>6327</v>
      </c>
      <c r="L97" s="106" t="s">
        <v>569</v>
      </c>
      <c r="M97" s="110">
        <v>2016</v>
      </c>
      <c r="N97" s="111" t="s">
        <v>6328</v>
      </c>
      <c r="O97" s="112" t="s">
        <v>5901</v>
      </c>
    </row>
    <row r="98" spans="1:15" s="104" customFormat="1" ht="19.95" customHeight="1">
      <c r="A98" s="105">
        <v>17</v>
      </c>
      <c r="B98" s="106" t="s">
        <v>571</v>
      </c>
      <c r="C98" s="106" t="s">
        <v>6271</v>
      </c>
      <c r="D98" s="107" t="s">
        <v>6329</v>
      </c>
      <c r="E98" s="106" t="s">
        <v>6330</v>
      </c>
      <c r="F98" s="107" t="s">
        <v>6331</v>
      </c>
      <c r="G98" s="108">
        <v>9781466687141</v>
      </c>
      <c r="H98" s="108" t="s">
        <v>6332</v>
      </c>
      <c r="I98" s="109">
        <v>1</v>
      </c>
      <c r="J98" s="109">
        <v>1</v>
      </c>
      <c r="K98" s="106" t="s">
        <v>6333</v>
      </c>
      <c r="L98" s="106" t="s">
        <v>569</v>
      </c>
      <c r="M98" s="110">
        <v>2015</v>
      </c>
      <c r="N98" s="111" t="s">
        <v>6334</v>
      </c>
      <c r="O98" s="112" t="s">
        <v>5901</v>
      </c>
    </row>
    <row r="99" spans="1:15" s="104" customFormat="1" ht="19.95" customHeight="1">
      <c r="A99" s="97">
        <v>92</v>
      </c>
      <c r="B99" s="98" t="s">
        <v>571</v>
      </c>
      <c r="C99" s="98" t="s">
        <v>1936</v>
      </c>
      <c r="D99" s="99" t="s">
        <v>6335</v>
      </c>
      <c r="E99" s="99" t="s">
        <v>6336</v>
      </c>
      <c r="F99" s="100" t="s">
        <v>6337</v>
      </c>
      <c r="G99" s="100" t="s">
        <v>6338</v>
      </c>
      <c r="H99" s="101" t="s">
        <v>6339</v>
      </c>
      <c r="I99" s="98">
        <v>1</v>
      </c>
      <c r="J99" s="98">
        <v>1</v>
      </c>
      <c r="K99" s="99" t="s">
        <v>6340</v>
      </c>
      <c r="L99" s="98" t="s">
        <v>1233</v>
      </c>
      <c r="M99" s="66">
        <v>2015</v>
      </c>
      <c r="N99" s="102" t="s">
        <v>6341</v>
      </c>
      <c r="O99" s="103"/>
    </row>
    <row r="100" spans="1:15" s="104" customFormat="1" ht="19.95" customHeight="1">
      <c r="A100" s="97">
        <v>96</v>
      </c>
      <c r="B100" s="98" t="s">
        <v>571</v>
      </c>
      <c r="C100" s="98" t="s">
        <v>1936</v>
      </c>
      <c r="D100" s="99" t="s">
        <v>6342</v>
      </c>
      <c r="E100" s="99" t="s">
        <v>6343</v>
      </c>
      <c r="F100" s="100" t="s">
        <v>6344</v>
      </c>
      <c r="G100" s="100" t="s">
        <v>6345</v>
      </c>
      <c r="H100" s="101" t="s">
        <v>6346</v>
      </c>
      <c r="I100" s="98">
        <v>1</v>
      </c>
      <c r="J100" s="98">
        <v>1</v>
      </c>
      <c r="K100" s="99" t="s">
        <v>6347</v>
      </c>
      <c r="L100" s="98" t="s">
        <v>1233</v>
      </c>
      <c r="M100" s="66">
        <v>2013</v>
      </c>
      <c r="N100" s="102" t="s">
        <v>6348</v>
      </c>
      <c r="O100" s="103"/>
    </row>
    <row r="101" spans="1:15" s="104" customFormat="1" ht="19.95" customHeight="1">
      <c r="A101" s="97">
        <v>69</v>
      </c>
      <c r="B101" s="98" t="s">
        <v>571</v>
      </c>
      <c r="C101" s="98" t="s">
        <v>6349</v>
      </c>
      <c r="D101" s="99" t="s">
        <v>6350</v>
      </c>
      <c r="E101" s="99" t="s">
        <v>6351</v>
      </c>
      <c r="F101" s="100" t="s">
        <v>6352</v>
      </c>
      <c r="G101" s="100" t="s">
        <v>6353</v>
      </c>
      <c r="H101" s="101" t="s">
        <v>6354</v>
      </c>
      <c r="I101" s="98">
        <v>1</v>
      </c>
      <c r="J101" s="98">
        <v>1</v>
      </c>
      <c r="K101" s="99" t="s">
        <v>6355</v>
      </c>
      <c r="L101" s="98" t="s">
        <v>1233</v>
      </c>
      <c r="M101" s="66">
        <v>2016</v>
      </c>
      <c r="N101" s="102" t="s">
        <v>6356</v>
      </c>
      <c r="O101" s="103"/>
    </row>
    <row r="102" spans="1:15" s="104" customFormat="1" ht="19.95" customHeight="1">
      <c r="A102" s="97">
        <v>80</v>
      </c>
      <c r="B102" s="98" t="s">
        <v>571</v>
      </c>
      <c r="C102" s="98" t="s">
        <v>6349</v>
      </c>
      <c r="D102" s="99" t="s">
        <v>6357</v>
      </c>
      <c r="E102" s="99" t="s">
        <v>6358</v>
      </c>
      <c r="F102" s="100" t="s">
        <v>6359</v>
      </c>
      <c r="G102" s="100" t="s">
        <v>6360</v>
      </c>
      <c r="H102" s="101" t="s">
        <v>6361</v>
      </c>
      <c r="I102" s="98">
        <v>1</v>
      </c>
      <c r="J102" s="98">
        <v>1</v>
      </c>
      <c r="K102" s="99" t="s">
        <v>6362</v>
      </c>
      <c r="L102" s="98" t="s">
        <v>1233</v>
      </c>
      <c r="M102" s="66">
        <v>2016</v>
      </c>
      <c r="N102" s="102" t="s">
        <v>6363</v>
      </c>
      <c r="O102" s="103"/>
    </row>
    <row r="103" spans="1:15" s="104" customFormat="1" ht="19.95" customHeight="1">
      <c r="A103" s="97">
        <v>83</v>
      </c>
      <c r="B103" s="98" t="s">
        <v>571</v>
      </c>
      <c r="C103" s="98" t="s">
        <v>6349</v>
      </c>
      <c r="D103" s="99" t="s">
        <v>6364</v>
      </c>
      <c r="E103" s="99" t="s">
        <v>6365</v>
      </c>
      <c r="F103" s="100" t="s">
        <v>6366</v>
      </c>
      <c r="G103" s="100" t="s">
        <v>6367</v>
      </c>
      <c r="H103" s="101" t="s">
        <v>6368</v>
      </c>
      <c r="I103" s="98">
        <v>1</v>
      </c>
      <c r="J103" s="98">
        <v>1</v>
      </c>
      <c r="K103" s="99" t="s">
        <v>5539</v>
      </c>
      <c r="L103" s="98" t="s">
        <v>1233</v>
      </c>
      <c r="M103" s="66">
        <v>2016</v>
      </c>
      <c r="N103" s="102" t="s">
        <v>6369</v>
      </c>
      <c r="O103" s="103"/>
    </row>
    <row r="104" spans="1:15" s="104" customFormat="1" ht="19.95" customHeight="1">
      <c r="A104" s="97">
        <v>101</v>
      </c>
      <c r="B104" s="98" t="s">
        <v>571</v>
      </c>
      <c r="C104" s="98" t="s">
        <v>6349</v>
      </c>
      <c r="D104" s="99" t="s">
        <v>6370</v>
      </c>
      <c r="E104" s="99" t="s">
        <v>6371</v>
      </c>
      <c r="F104" s="100" t="s">
        <v>6372</v>
      </c>
      <c r="G104" s="100" t="s">
        <v>6373</v>
      </c>
      <c r="H104" s="101" t="s">
        <v>6374</v>
      </c>
      <c r="I104" s="98">
        <v>1</v>
      </c>
      <c r="J104" s="98">
        <v>1</v>
      </c>
      <c r="K104" s="99" t="s">
        <v>6375</v>
      </c>
      <c r="L104" s="98" t="s">
        <v>569</v>
      </c>
      <c r="M104" s="66">
        <v>2016</v>
      </c>
      <c r="N104" s="102" t="s">
        <v>6376</v>
      </c>
      <c r="O104" s="103"/>
    </row>
    <row r="105" spans="1:15" s="104" customFormat="1" ht="19.95" customHeight="1">
      <c r="A105" s="105">
        <v>12</v>
      </c>
      <c r="B105" s="106" t="s">
        <v>571</v>
      </c>
      <c r="C105" s="106" t="s">
        <v>6349</v>
      </c>
      <c r="D105" s="107" t="s">
        <v>6377</v>
      </c>
      <c r="E105" s="106" t="s">
        <v>6378</v>
      </c>
      <c r="F105" s="107" t="s">
        <v>6379</v>
      </c>
      <c r="G105" s="108">
        <v>9781522501909</v>
      </c>
      <c r="H105" s="108" t="s">
        <v>6380</v>
      </c>
      <c r="I105" s="109">
        <v>1</v>
      </c>
      <c r="J105" s="109">
        <v>1</v>
      </c>
      <c r="K105" s="106" t="s">
        <v>6381</v>
      </c>
      <c r="L105" s="106" t="s">
        <v>1233</v>
      </c>
      <c r="M105" s="110">
        <v>2016</v>
      </c>
      <c r="N105" s="111" t="s">
        <v>6382</v>
      </c>
      <c r="O105" s="112" t="s">
        <v>5901</v>
      </c>
    </row>
    <row r="106" spans="1:15" s="104" customFormat="1" ht="19.95" customHeight="1">
      <c r="A106" s="105">
        <v>20</v>
      </c>
      <c r="B106" s="106" t="s">
        <v>571</v>
      </c>
      <c r="C106" s="106" t="s">
        <v>6349</v>
      </c>
      <c r="D106" s="107" t="s">
        <v>6383</v>
      </c>
      <c r="E106" s="106" t="s">
        <v>6384</v>
      </c>
      <c r="F106" s="107" t="s">
        <v>6385</v>
      </c>
      <c r="G106" s="108">
        <v>9781466686489</v>
      </c>
      <c r="H106" s="108" t="s">
        <v>6386</v>
      </c>
      <c r="I106" s="109">
        <v>1</v>
      </c>
      <c r="J106" s="109">
        <v>1</v>
      </c>
      <c r="K106" s="106" t="s">
        <v>6387</v>
      </c>
      <c r="L106" s="106" t="s">
        <v>1233</v>
      </c>
      <c r="M106" s="110">
        <v>2016</v>
      </c>
      <c r="N106" s="111" t="s">
        <v>6388</v>
      </c>
      <c r="O106" s="112" t="s">
        <v>5774</v>
      </c>
    </row>
    <row r="107" spans="1:15" s="104" customFormat="1" ht="19.95" customHeight="1">
      <c r="A107" s="105">
        <v>18</v>
      </c>
      <c r="B107" s="106" t="s">
        <v>571</v>
      </c>
      <c r="C107" s="106" t="s">
        <v>6349</v>
      </c>
      <c r="D107" s="107">
        <v>629.79999999999995</v>
      </c>
      <c r="E107" s="106" t="s">
        <v>6389</v>
      </c>
      <c r="F107" s="107" t="s">
        <v>6390</v>
      </c>
      <c r="G107" s="108">
        <v>9781466686939</v>
      </c>
      <c r="H107" s="108" t="s">
        <v>6391</v>
      </c>
      <c r="I107" s="109">
        <v>1</v>
      </c>
      <c r="J107" s="109">
        <v>1</v>
      </c>
      <c r="K107" s="113" t="s">
        <v>546</v>
      </c>
      <c r="L107" s="106" t="s">
        <v>1233</v>
      </c>
      <c r="M107" s="110">
        <v>2015</v>
      </c>
      <c r="N107" s="111" t="s">
        <v>6392</v>
      </c>
      <c r="O107" s="112" t="s">
        <v>5901</v>
      </c>
    </row>
    <row r="108" spans="1:15" ht="19.95" customHeight="1">
      <c r="A108" s="105">
        <v>16</v>
      </c>
      <c r="B108" s="106" t="s">
        <v>571</v>
      </c>
      <c r="C108" s="106" t="s">
        <v>1656</v>
      </c>
      <c r="D108" s="107" t="s">
        <v>6393</v>
      </c>
      <c r="E108" s="106" t="s">
        <v>6394</v>
      </c>
      <c r="F108" s="107" t="s">
        <v>6395</v>
      </c>
      <c r="G108" s="108">
        <v>9781466665019</v>
      </c>
      <c r="H108" s="108" t="s">
        <v>6396</v>
      </c>
      <c r="I108" s="109">
        <v>1</v>
      </c>
      <c r="J108" s="109">
        <v>1</v>
      </c>
      <c r="K108" s="106" t="s">
        <v>6397</v>
      </c>
      <c r="L108" s="106" t="s">
        <v>569</v>
      </c>
      <c r="M108" s="110">
        <v>2015</v>
      </c>
      <c r="N108" s="111" t="s">
        <v>6398</v>
      </c>
      <c r="O108" s="112" t="s">
        <v>5901</v>
      </c>
    </row>
    <row r="109" spans="1:15" ht="19.95" customHeight="1">
      <c r="A109" s="97">
        <v>79</v>
      </c>
      <c r="B109" s="98" t="s">
        <v>571</v>
      </c>
      <c r="C109" s="98" t="s">
        <v>1656</v>
      </c>
      <c r="D109" s="99" t="s">
        <v>6399</v>
      </c>
      <c r="E109" s="99" t="s">
        <v>6400</v>
      </c>
      <c r="F109" s="100" t="s">
        <v>6401</v>
      </c>
      <c r="G109" s="100" t="s">
        <v>6402</v>
      </c>
      <c r="H109" s="101" t="s">
        <v>6403</v>
      </c>
      <c r="I109" s="98">
        <v>1</v>
      </c>
      <c r="J109" s="98">
        <v>1</v>
      </c>
      <c r="K109" s="99" t="s">
        <v>6404</v>
      </c>
      <c r="L109" s="98" t="s">
        <v>569</v>
      </c>
      <c r="M109" s="117">
        <v>2013</v>
      </c>
      <c r="N109" s="118" t="s">
        <v>6405</v>
      </c>
      <c r="O109" s="103"/>
    </row>
    <row r="110" spans="1:15" ht="19.95" customHeight="1">
      <c r="A110" s="97">
        <v>70</v>
      </c>
      <c r="B110" s="98" t="s">
        <v>571</v>
      </c>
      <c r="C110" s="98" t="s">
        <v>6406</v>
      </c>
      <c r="D110" s="99" t="s">
        <v>6179</v>
      </c>
      <c r="E110" s="99" t="s">
        <v>6179</v>
      </c>
      <c r="F110" s="100" t="s">
        <v>6407</v>
      </c>
      <c r="G110" s="100" t="s">
        <v>6408</v>
      </c>
      <c r="H110" s="101" t="s">
        <v>6409</v>
      </c>
      <c r="I110" s="98">
        <v>1</v>
      </c>
      <c r="J110" s="98">
        <v>1</v>
      </c>
      <c r="K110" s="99" t="s">
        <v>6410</v>
      </c>
      <c r="L110" s="98" t="s">
        <v>569</v>
      </c>
      <c r="M110" s="66">
        <v>2016</v>
      </c>
      <c r="N110" s="102" t="s">
        <v>6411</v>
      </c>
      <c r="O110" s="103"/>
    </row>
    <row r="111" spans="1:15" ht="19.95" customHeight="1">
      <c r="A111" s="97">
        <v>72</v>
      </c>
      <c r="B111" s="98" t="s">
        <v>571</v>
      </c>
      <c r="C111" s="98" t="s">
        <v>6406</v>
      </c>
      <c r="D111" s="99" t="s">
        <v>6412</v>
      </c>
      <c r="E111" s="99" t="s">
        <v>6413</v>
      </c>
      <c r="F111" s="100" t="s">
        <v>6414</v>
      </c>
      <c r="G111" s="100" t="s">
        <v>6415</v>
      </c>
      <c r="H111" s="101" t="s">
        <v>6416</v>
      </c>
      <c r="I111" s="98">
        <v>1</v>
      </c>
      <c r="J111" s="98">
        <v>1</v>
      </c>
      <c r="K111" s="99" t="s">
        <v>6417</v>
      </c>
      <c r="L111" s="98" t="s">
        <v>569</v>
      </c>
      <c r="M111" s="66">
        <v>2016</v>
      </c>
      <c r="N111" s="102" t="s">
        <v>6418</v>
      </c>
      <c r="O111" s="103"/>
    </row>
    <row r="112" spans="1:15" ht="19.95" customHeight="1">
      <c r="A112" s="97">
        <v>98</v>
      </c>
      <c r="B112" s="98" t="s">
        <v>571</v>
      </c>
      <c r="C112" s="98" t="s">
        <v>6406</v>
      </c>
      <c r="D112" s="99" t="s">
        <v>6419</v>
      </c>
      <c r="E112" s="99" t="s">
        <v>6420</v>
      </c>
      <c r="F112" s="100" t="s">
        <v>6421</v>
      </c>
      <c r="G112" s="100" t="s">
        <v>6422</v>
      </c>
      <c r="H112" s="101" t="s">
        <v>6423</v>
      </c>
      <c r="I112" s="98">
        <v>1</v>
      </c>
      <c r="J112" s="98">
        <v>1</v>
      </c>
      <c r="K112" s="99" t="s">
        <v>6424</v>
      </c>
      <c r="L112" s="98" t="s">
        <v>569</v>
      </c>
      <c r="M112" s="66">
        <v>2016</v>
      </c>
      <c r="N112" s="102" t="s">
        <v>6425</v>
      </c>
      <c r="O112" s="103"/>
    </row>
    <row r="113" spans="1:15" ht="19.95" customHeight="1">
      <c r="A113" s="97">
        <v>102</v>
      </c>
      <c r="B113" s="98" t="s">
        <v>571</v>
      </c>
      <c r="C113" s="98" t="s">
        <v>6406</v>
      </c>
      <c r="D113" s="99">
        <v>621.31899999999996</v>
      </c>
      <c r="E113" s="99" t="s">
        <v>6426</v>
      </c>
      <c r="F113" s="100" t="s">
        <v>6427</v>
      </c>
      <c r="G113" s="100" t="s">
        <v>6428</v>
      </c>
      <c r="H113" s="101" t="s">
        <v>6429</v>
      </c>
      <c r="I113" s="98">
        <v>1</v>
      </c>
      <c r="J113" s="98">
        <v>1</v>
      </c>
      <c r="K113" s="99" t="s">
        <v>6430</v>
      </c>
      <c r="L113" s="98" t="s">
        <v>569</v>
      </c>
      <c r="M113" s="66">
        <v>2016</v>
      </c>
      <c r="N113" s="102" t="s">
        <v>6431</v>
      </c>
      <c r="O113" s="103"/>
    </row>
    <row r="114" spans="1:15" ht="19.95" customHeight="1">
      <c r="A114" s="97">
        <v>103</v>
      </c>
      <c r="B114" s="98" t="s">
        <v>571</v>
      </c>
      <c r="C114" s="98" t="s">
        <v>6406</v>
      </c>
      <c r="D114" s="99" t="s">
        <v>6432</v>
      </c>
      <c r="E114" s="99" t="s">
        <v>6433</v>
      </c>
      <c r="F114" s="100" t="s">
        <v>6434</v>
      </c>
      <c r="G114" s="100" t="s">
        <v>6435</v>
      </c>
      <c r="H114" s="101" t="s">
        <v>6436</v>
      </c>
      <c r="I114" s="98">
        <v>1</v>
      </c>
      <c r="J114" s="98">
        <v>1</v>
      </c>
      <c r="K114" s="99" t="s">
        <v>6437</v>
      </c>
      <c r="L114" s="98" t="s">
        <v>1233</v>
      </c>
      <c r="M114" s="66">
        <v>2016</v>
      </c>
      <c r="N114" s="102" t="s">
        <v>6438</v>
      </c>
      <c r="O114" s="103"/>
    </row>
    <row r="115" spans="1:15" ht="19.95" customHeight="1">
      <c r="A115" s="105">
        <v>13</v>
      </c>
      <c r="B115" s="106" t="s">
        <v>571</v>
      </c>
      <c r="C115" s="106" t="s">
        <v>6406</v>
      </c>
      <c r="D115" s="107" t="s">
        <v>6439</v>
      </c>
      <c r="E115" s="106" t="s">
        <v>6440</v>
      </c>
      <c r="F115" s="107" t="s">
        <v>6441</v>
      </c>
      <c r="G115" s="108">
        <v>9781466684386</v>
      </c>
      <c r="H115" s="108" t="s">
        <v>6442</v>
      </c>
      <c r="I115" s="109">
        <v>1</v>
      </c>
      <c r="J115" s="109">
        <v>1</v>
      </c>
      <c r="K115" s="106" t="s">
        <v>6443</v>
      </c>
      <c r="L115" s="106" t="s">
        <v>569</v>
      </c>
      <c r="M115" s="110">
        <v>2015</v>
      </c>
      <c r="N115" s="111" t="s">
        <v>6444</v>
      </c>
      <c r="O115" s="112" t="s">
        <v>5774</v>
      </c>
    </row>
    <row r="116" spans="1:15" ht="19.95" customHeight="1">
      <c r="A116" s="97">
        <v>81</v>
      </c>
      <c r="B116" s="98" t="s">
        <v>571</v>
      </c>
      <c r="C116" s="98" t="s">
        <v>6445</v>
      </c>
      <c r="D116" s="99" t="s">
        <v>2042</v>
      </c>
      <c r="E116" s="99" t="s">
        <v>6446</v>
      </c>
      <c r="F116" s="100" t="s">
        <v>6447</v>
      </c>
      <c r="G116" s="100" t="s">
        <v>6448</v>
      </c>
      <c r="H116" s="101" t="s">
        <v>6449</v>
      </c>
      <c r="I116" s="98">
        <v>1</v>
      </c>
      <c r="J116" s="98">
        <v>1</v>
      </c>
      <c r="K116" s="99" t="s">
        <v>3674</v>
      </c>
      <c r="L116" s="98" t="s">
        <v>569</v>
      </c>
      <c r="M116" s="66">
        <v>2016</v>
      </c>
      <c r="N116" s="102" t="s">
        <v>6450</v>
      </c>
      <c r="O116" s="103"/>
    </row>
    <row r="117" spans="1:15" ht="19.95" customHeight="1">
      <c r="A117" s="97">
        <v>82</v>
      </c>
      <c r="B117" s="98" t="s">
        <v>571</v>
      </c>
      <c r="C117" s="98" t="s">
        <v>6445</v>
      </c>
      <c r="D117" s="99" t="s">
        <v>507</v>
      </c>
      <c r="E117" s="99" t="s">
        <v>6451</v>
      </c>
      <c r="F117" s="100" t="s">
        <v>6452</v>
      </c>
      <c r="G117" s="100" t="s">
        <v>6453</v>
      </c>
      <c r="H117" s="101" t="s">
        <v>6454</v>
      </c>
      <c r="I117" s="98">
        <v>1</v>
      </c>
      <c r="J117" s="98">
        <v>1</v>
      </c>
      <c r="K117" s="99" t="s">
        <v>6455</v>
      </c>
      <c r="L117" s="98" t="s">
        <v>569</v>
      </c>
      <c r="M117" s="66">
        <v>2016</v>
      </c>
      <c r="N117" s="102" t="s">
        <v>6456</v>
      </c>
      <c r="O117" s="103"/>
    </row>
    <row r="118" spans="1:15" ht="19.95" customHeight="1">
      <c r="A118" s="97">
        <v>84</v>
      </c>
      <c r="B118" s="98" t="s">
        <v>571</v>
      </c>
      <c r="C118" s="98" t="s">
        <v>6445</v>
      </c>
      <c r="D118" s="99" t="s">
        <v>533</v>
      </c>
      <c r="E118" s="99" t="s">
        <v>6457</v>
      </c>
      <c r="F118" s="100" t="s">
        <v>6458</v>
      </c>
      <c r="G118" s="100" t="s">
        <v>6459</v>
      </c>
      <c r="H118" s="101" t="s">
        <v>6460</v>
      </c>
      <c r="I118" s="98">
        <v>1</v>
      </c>
      <c r="J118" s="98">
        <v>1</v>
      </c>
      <c r="K118" s="99" t="s">
        <v>6461</v>
      </c>
      <c r="L118" s="98" t="s">
        <v>569</v>
      </c>
      <c r="M118" s="66">
        <v>2016</v>
      </c>
      <c r="N118" s="102" t="s">
        <v>6462</v>
      </c>
      <c r="O118" s="103"/>
    </row>
    <row r="119" spans="1:15" ht="19.95" customHeight="1">
      <c r="A119" s="97">
        <v>87</v>
      </c>
      <c r="B119" s="98" t="s">
        <v>571</v>
      </c>
      <c r="C119" s="98" t="s">
        <v>6445</v>
      </c>
      <c r="D119" s="99" t="s">
        <v>6179</v>
      </c>
      <c r="E119" s="99" t="s">
        <v>6179</v>
      </c>
      <c r="F119" s="100" t="s">
        <v>6463</v>
      </c>
      <c r="G119" s="100" t="s">
        <v>6464</v>
      </c>
      <c r="H119" s="101" t="s">
        <v>6465</v>
      </c>
      <c r="I119" s="98">
        <v>1</v>
      </c>
      <c r="J119" s="98">
        <v>1</v>
      </c>
      <c r="K119" s="99" t="s">
        <v>6466</v>
      </c>
      <c r="L119" s="98" t="s">
        <v>569</v>
      </c>
      <c r="M119" s="66">
        <v>2016</v>
      </c>
      <c r="N119" s="102" t="s">
        <v>6467</v>
      </c>
      <c r="O119" s="103"/>
    </row>
    <row r="120" spans="1:15" ht="19.95" customHeight="1">
      <c r="A120" s="97">
        <v>93</v>
      </c>
      <c r="B120" s="98" t="s">
        <v>571</v>
      </c>
      <c r="C120" s="98" t="s">
        <v>6445</v>
      </c>
      <c r="D120" s="99" t="s">
        <v>1879</v>
      </c>
      <c r="E120" s="99" t="s">
        <v>6468</v>
      </c>
      <c r="F120" s="100" t="s">
        <v>6469</v>
      </c>
      <c r="G120" s="100" t="s">
        <v>6470</v>
      </c>
      <c r="H120" s="101" t="s">
        <v>6471</v>
      </c>
      <c r="I120" s="98">
        <v>1</v>
      </c>
      <c r="J120" s="98">
        <v>1</v>
      </c>
      <c r="K120" s="99" t="s">
        <v>6472</v>
      </c>
      <c r="L120" s="98" t="s">
        <v>569</v>
      </c>
      <c r="M120" s="66">
        <v>2016</v>
      </c>
      <c r="N120" s="102" t="s">
        <v>6473</v>
      </c>
      <c r="O120" s="103"/>
    </row>
    <row r="121" spans="1:15" ht="19.95" customHeight="1">
      <c r="A121" s="97">
        <v>67</v>
      </c>
      <c r="B121" s="98" t="s">
        <v>571</v>
      </c>
      <c r="C121" s="98" t="s">
        <v>6445</v>
      </c>
      <c r="D121" s="99" t="s">
        <v>6474</v>
      </c>
      <c r="E121" s="99" t="s">
        <v>6475</v>
      </c>
      <c r="F121" s="100" t="s">
        <v>6476</v>
      </c>
      <c r="G121" s="100" t="s">
        <v>6477</v>
      </c>
      <c r="H121" s="101" t="s">
        <v>6478</v>
      </c>
      <c r="I121" s="98">
        <v>1</v>
      </c>
      <c r="J121" s="98">
        <v>1</v>
      </c>
      <c r="K121" s="99" t="s">
        <v>6479</v>
      </c>
      <c r="L121" s="98" t="s">
        <v>569</v>
      </c>
      <c r="M121" s="66">
        <v>2015</v>
      </c>
      <c r="N121" s="102" t="s">
        <v>6480</v>
      </c>
      <c r="O121" s="103"/>
    </row>
    <row r="122" spans="1:15" ht="19.95" customHeight="1">
      <c r="A122" s="97">
        <v>73</v>
      </c>
      <c r="B122" s="98" t="s">
        <v>571</v>
      </c>
      <c r="C122" s="98" t="s">
        <v>6445</v>
      </c>
      <c r="D122" s="99" t="s">
        <v>6481</v>
      </c>
      <c r="E122" s="99" t="s">
        <v>6482</v>
      </c>
      <c r="F122" s="100" t="s">
        <v>6483</v>
      </c>
      <c r="G122" s="100" t="s">
        <v>6484</v>
      </c>
      <c r="H122" s="101" t="s">
        <v>6485</v>
      </c>
      <c r="I122" s="98">
        <v>1</v>
      </c>
      <c r="J122" s="98">
        <v>1</v>
      </c>
      <c r="K122" s="99" t="s">
        <v>6486</v>
      </c>
      <c r="L122" s="98" t="s">
        <v>569</v>
      </c>
      <c r="M122" s="66">
        <v>2015</v>
      </c>
      <c r="N122" s="102" t="s">
        <v>6487</v>
      </c>
      <c r="O122" s="103"/>
    </row>
    <row r="123" spans="1:15" ht="19.95" customHeight="1">
      <c r="A123" s="97">
        <v>76</v>
      </c>
      <c r="B123" s="98" t="s">
        <v>571</v>
      </c>
      <c r="C123" s="98" t="s">
        <v>6445</v>
      </c>
      <c r="D123" s="99" t="s">
        <v>496</v>
      </c>
      <c r="E123" s="99" t="s">
        <v>6488</v>
      </c>
      <c r="F123" s="100" t="s">
        <v>6489</v>
      </c>
      <c r="G123" s="100" t="s">
        <v>6490</v>
      </c>
      <c r="H123" s="101" t="s">
        <v>6491</v>
      </c>
      <c r="I123" s="98">
        <v>1</v>
      </c>
      <c r="J123" s="98">
        <v>1</v>
      </c>
      <c r="K123" s="99" t="s">
        <v>1069</v>
      </c>
      <c r="L123" s="98" t="s">
        <v>569</v>
      </c>
      <c r="M123" s="66">
        <v>2015</v>
      </c>
      <c r="N123" s="102" t="s">
        <v>6492</v>
      </c>
      <c r="O123" s="103"/>
    </row>
    <row r="124" spans="1:15" ht="19.95" customHeight="1">
      <c r="A124" s="105">
        <v>19</v>
      </c>
      <c r="B124" s="106" t="s">
        <v>571</v>
      </c>
      <c r="C124" s="106" t="s">
        <v>6445</v>
      </c>
      <c r="D124" s="107">
        <v>302.30284999999998</v>
      </c>
      <c r="E124" s="106" t="s">
        <v>6493</v>
      </c>
      <c r="F124" s="107" t="s">
        <v>6494</v>
      </c>
      <c r="G124" s="108">
        <v>9781466685567</v>
      </c>
      <c r="H124" s="108" t="s">
        <v>6495</v>
      </c>
      <c r="I124" s="109">
        <v>1</v>
      </c>
      <c r="J124" s="109">
        <v>1</v>
      </c>
      <c r="K124" s="106" t="s">
        <v>6496</v>
      </c>
      <c r="L124" s="106" t="s">
        <v>569</v>
      </c>
      <c r="M124" s="110">
        <v>2015</v>
      </c>
      <c r="N124" s="111" t="s">
        <v>6497</v>
      </c>
      <c r="O124" s="112" t="s">
        <v>5901</v>
      </c>
    </row>
    <row r="125" spans="1:15" ht="19.95" customHeight="1">
      <c r="A125" s="97">
        <v>71</v>
      </c>
      <c r="B125" s="98" t="s">
        <v>571</v>
      </c>
      <c r="C125" s="98" t="s">
        <v>1732</v>
      </c>
      <c r="D125" s="99" t="s">
        <v>6498</v>
      </c>
      <c r="E125" s="99" t="s">
        <v>6499</v>
      </c>
      <c r="F125" s="100" t="s">
        <v>6500</v>
      </c>
      <c r="G125" s="100" t="s">
        <v>6501</v>
      </c>
      <c r="H125" s="101" t="s">
        <v>6502</v>
      </c>
      <c r="I125" s="98">
        <v>1</v>
      </c>
      <c r="J125" s="98">
        <v>1</v>
      </c>
      <c r="K125" s="99" t="s">
        <v>5523</v>
      </c>
      <c r="L125" s="98" t="s">
        <v>569</v>
      </c>
      <c r="M125" s="66">
        <v>2014</v>
      </c>
      <c r="N125" s="102" t="s">
        <v>6503</v>
      </c>
      <c r="O125" s="103"/>
    </row>
    <row r="126" spans="1:15" ht="19.95" customHeight="1">
      <c r="A126" s="97">
        <v>97</v>
      </c>
      <c r="B126" s="98" t="s">
        <v>571</v>
      </c>
      <c r="C126" s="98" t="s">
        <v>6504</v>
      </c>
      <c r="D126" s="99" t="s">
        <v>513</v>
      </c>
      <c r="E126" s="99" t="s">
        <v>6505</v>
      </c>
      <c r="F126" s="100" t="s">
        <v>6506</v>
      </c>
      <c r="G126" s="100" t="s">
        <v>6507</v>
      </c>
      <c r="H126" s="101" t="s">
        <v>6508</v>
      </c>
      <c r="I126" s="98">
        <v>1</v>
      </c>
      <c r="J126" s="98">
        <v>1</v>
      </c>
      <c r="K126" s="99" t="s">
        <v>6509</v>
      </c>
      <c r="L126" s="98" t="s">
        <v>569</v>
      </c>
      <c r="M126" s="66">
        <v>2016</v>
      </c>
      <c r="N126" s="102" t="s">
        <v>6510</v>
      </c>
      <c r="O126" s="103"/>
    </row>
    <row r="127" spans="1:15" ht="19.95" customHeight="1">
      <c r="A127" s="97">
        <v>74</v>
      </c>
      <c r="B127" s="98" t="s">
        <v>571</v>
      </c>
      <c r="C127" s="98" t="s">
        <v>1680</v>
      </c>
      <c r="D127" s="99" t="s">
        <v>513</v>
      </c>
      <c r="E127" s="99" t="s">
        <v>6511</v>
      </c>
      <c r="F127" s="100" t="s">
        <v>6512</v>
      </c>
      <c r="G127" s="100" t="s">
        <v>6513</v>
      </c>
      <c r="H127" s="101" t="s">
        <v>6514</v>
      </c>
      <c r="I127" s="98">
        <v>1</v>
      </c>
      <c r="J127" s="98">
        <v>1</v>
      </c>
      <c r="K127" s="99" t="s">
        <v>6515</v>
      </c>
      <c r="L127" s="98" t="s">
        <v>569</v>
      </c>
      <c r="M127" s="66">
        <v>2011</v>
      </c>
      <c r="N127" s="102" t="s">
        <v>6516</v>
      </c>
      <c r="O127" s="103"/>
    </row>
    <row r="128" spans="1:15" ht="19.95" customHeight="1"/>
    <row r="129" ht="19.95" customHeight="1"/>
    <row r="130" ht="19.95" customHeight="1"/>
  </sheetData>
  <phoneticPr fontId="3" type="noConversion"/>
  <hyperlinks>
    <hyperlink ref="N60" r:id="rId1" xr:uid="{00000000-0004-0000-0500-000000000000}"/>
    <hyperlink ref="N42" r:id="rId2" xr:uid="{00000000-0004-0000-0500-000001000000}"/>
    <hyperlink ref="N13" r:id="rId3" xr:uid="{00000000-0004-0000-0500-000002000000}"/>
    <hyperlink ref="N11" r:id="rId4" xr:uid="{00000000-0004-0000-0500-000003000000}"/>
    <hyperlink ref="N14" r:id="rId5" xr:uid="{00000000-0004-0000-0500-000004000000}"/>
    <hyperlink ref="N2" r:id="rId6" xr:uid="{00000000-0004-0000-0500-000005000000}"/>
    <hyperlink ref="N49" r:id="rId7" xr:uid="{00000000-0004-0000-0500-000006000000}"/>
    <hyperlink ref="N15" r:id="rId8" xr:uid="{00000000-0004-0000-0500-000007000000}"/>
    <hyperlink ref="N43" r:id="rId9" xr:uid="{00000000-0004-0000-0500-000008000000}"/>
    <hyperlink ref="N37" r:id="rId10" xr:uid="{00000000-0004-0000-0500-000009000000}"/>
    <hyperlink ref="N61" r:id="rId11" xr:uid="{00000000-0004-0000-0500-00000A000000}"/>
    <hyperlink ref="N16" r:id="rId12" xr:uid="{00000000-0004-0000-0500-00000B000000}"/>
    <hyperlink ref="N31" r:id="rId13" xr:uid="{00000000-0004-0000-0500-00000C000000}"/>
    <hyperlink ref="N44" r:id="rId14" xr:uid="{00000000-0004-0000-0500-00000D000000}"/>
    <hyperlink ref="N48" r:id="rId15" xr:uid="{00000000-0004-0000-0500-00000E000000}"/>
    <hyperlink ref="N3" r:id="rId16" xr:uid="{00000000-0004-0000-0500-00000F000000}"/>
    <hyperlink ref="N17" r:id="rId17" xr:uid="{00000000-0004-0000-0500-000010000000}"/>
    <hyperlink ref="N52" r:id="rId18" xr:uid="{00000000-0004-0000-0500-000011000000}"/>
    <hyperlink ref="N62" r:id="rId19" xr:uid="{00000000-0004-0000-0500-000012000000}"/>
    <hyperlink ref="N53" r:id="rId20" xr:uid="{00000000-0004-0000-0500-000013000000}"/>
    <hyperlink ref="N4" r:id="rId21" xr:uid="{00000000-0004-0000-0500-000014000000}"/>
    <hyperlink ref="N5" r:id="rId22" xr:uid="{00000000-0004-0000-0500-000015000000}"/>
    <hyperlink ref="N38" r:id="rId23" xr:uid="{00000000-0004-0000-0500-000016000000}"/>
    <hyperlink ref="N6" r:id="rId24" xr:uid="{00000000-0004-0000-0500-000017000000}"/>
    <hyperlink ref="N32" r:id="rId25" xr:uid="{00000000-0004-0000-0500-000018000000}"/>
    <hyperlink ref="N18" r:id="rId26" xr:uid="{00000000-0004-0000-0500-000019000000}"/>
    <hyperlink ref="N7" r:id="rId27" xr:uid="{00000000-0004-0000-0500-00001A000000}"/>
    <hyperlink ref="N19" r:id="rId28" xr:uid="{00000000-0004-0000-0500-00001B000000}"/>
    <hyperlink ref="N39" r:id="rId29" xr:uid="{00000000-0004-0000-0500-00001C000000}"/>
    <hyperlink ref="N20" r:id="rId30" xr:uid="{00000000-0004-0000-0500-00001D000000}"/>
    <hyperlink ref="N12" r:id="rId31" xr:uid="{00000000-0004-0000-0500-00001E000000}"/>
    <hyperlink ref="N8" r:id="rId32" xr:uid="{00000000-0004-0000-0500-00001F000000}"/>
    <hyperlink ref="N57" r:id="rId33" xr:uid="{00000000-0004-0000-0500-000020000000}"/>
    <hyperlink ref="N63" r:id="rId34" xr:uid="{00000000-0004-0000-0500-000021000000}"/>
    <hyperlink ref="N21" r:id="rId35" xr:uid="{00000000-0004-0000-0500-000022000000}"/>
    <hyperlink ref="N22" r:id="rId36" xr:uid="{00000000-0004-0000-0500-000023000000}"/>
    <hyperlink ref="N54" r:id="rId37" xr:uid="{00000000-0004-0000-0500-000024000000}"/>
    <hyperlink ref="N23" r:id="rId38" xr:uid="{00000000-0004-0000-0500-000025000000}"/>
    <hyperlink ref="N55" r:id="rId39" xr:uid="{00000000-0004-0000-0500-000026000000}"/>
    <hyperlink ref="N50" r:id="rId40" xr:uid="{00000000-0004-0000-0500-000027000000}"/>
    <hyperlink ref="N45" r:id="rId41" xr:uid="{00000000-0004-0000-0500-000028000000}"/>
    <hyperlink ref="N33" r:id="rId42" xr:uid="{00000000-0004-0000-0500-000029000000}"/>
    <hyperlink ref="N24" r:id="rId43" xr:uid="{00000000-0004-0000-0500-00002A000000}"/>
    <hyperlink ref="N25" r:id="rId44" xr:uid="{00000000-0004-0000-0500-00002B000000}"/>
    <hyperlink ref="N51" r:id="rId45" xr:uid="{00000000-0004-0000-0500-00002C000000}"/>
    <hyperlink ref="N46" r:id="rId46" xr:uid="{00000000-0004-0000-0500-00002D000000}"/>
    <hyperlink ref="N34" r:id="rId47" xr:uid="{00000000-0004-0000-0500-00002E000000}"/>
    <hyperlink ref="N26" r:id="rId48" xr:uid="{00000000-0004-0000-0500-00002F000000}"/>
    <hyperlink ref="N27" r:id="rId49" xr:uid="{00000000-0004-0000-0500-000030000000}"/>
    <hyperlink ref="N40" r:id="rId50" xr:uid="{00000000-0004-0000-0500-000031000000}"/>
    <hyperlink ref="N58" r:id="rId51" xr:uid="{00000000-0004-0000-0500-000032000000}"/>
    <hyperlink ref="N64" r:id="rId52" xr:uid="{00000000-0004-0000-0500-000033000000}"/>
    <hyperlink ref="N65" r:id="rId53" xr:uid="{00000000-0004-0000-0500-000034000000}"/>
    <hyperlink ref="N66" r:id="rId54" xr:uid="{00000000-0004-0000-0500-000035000000}"/>
    <hyperlink ref="N67" r:id="rId55" xr:uid="{00000000-0004-0000-0500-000036000000}"/>
    <hyperlink ref="N68" r:id="rId56" xr:uid="{00000000-0004-0000-0500-000037000000}"/>
    <hyperlink ref="N73" r:id="rId57" xr:uid="{00000000-0004-0000-0500-000038000000}"/>
    <hyperlink ref="N74" r:id="rId58" xr:uid="{00000000-0004-0000-0500-000039000000}"/>
    <hyperlink ref="N75" r:id="rId59" xr:uid="{00000000-0004-0000-0500-00003A000000}"/>
    <hyperlink ref="N69" r:id="rId60" xr:uid="{00000000-0004-0000-0500-00003B000000}"/>
    <hyperlink ref="N70" r:id="rId61" xr:uid="{00000000-0004-0000-0500-00003C000000}"/>
    <hyperlink ref="N72" r:id="rId62" xr:uid="{00000000-0004-0000-0500-00003D000000}"/>
    <hyperlink ref="N71" r:id="rId63" xr:uid="{00000000-0004-0000-0500-00003E000000}"/>
    <hyperlink ref="N76" r:id="rId64" xr:uid="{00000000-0004-0000-0500-00003F000000}"/>
    <hyperlink ref="N85" r:id="rId65" xr:uid="{00000000-0004-0000-0500-000040000000}"/>
    <hyperlink ref="N89" r:id="rId66" xr:uid="{00000000-0004-0000-0500-000041000000}"/>
    <hyperlink ref="N121" r:id="rId67" xr:uid="{00000000-0004-0000-0500-000042000000}"/>
    <hyperlink ref="N77" r:id="rId68" xr:uid="{00000000-0004-0000-0500-000043000000}"/>
    <hyperlink ref="N101" r:id="rId69" xr:uid="{00000000-0004-0000-0500-000044000000}"/>
    <hyperlink ref="N110" r:id="rId70" xr:uid="{00000000-0004-0000-0500-000045000000}"/>
    <hyperlink ref="N125" r:id="rId71" xr:uid="{00000000-0004-0000-0500-000046000000}"/>
    <hyperlink ref="N111" r:id="rId72" xr:uid="{00000000-0004-0000-0500-000047000000}"/>
    <hyperlink ref="N122" r:id="rId73" xr:uid="{00000000-0004-0000-0500-000048000000}"/>
    <hyperlink ref="N127" r:id="rId74" xr:uid="{00000000-0004-0000-0500-000049000000}"/>
    <hyperlink ref="N78" r:id="rId75" xr:uid="{00000000-0004-0000-0500-00004A000000}"/>
    <hyperlink ref="N123" r:id="rId76" xr:uid="{00000000-0004-0000-0500-00004B000000}"/>
    <hyperlink ref="N90" r:id="rId77" xr:uid="{00000000-0004-0000-0500-00004C000000}"/>
    <hyperlink ref="N79" r:id="rId78" xr:uid="{00000000-0004-0000-0500-00004D000000}"/>
    <hyperlink ref="N109" r:id="rId79" xr:uid="{00000000-0004-0000-0500-00004E000000}"/>
    <hyperlink ref="N102" r:id="rId80" xr:uid="{00000000-0004-0000-0500-00004F000000}"/>
    <hyperlink ref="N116" r:id="rId81" xr:uid="{00000000-0004-0000-0500-000050000000}"/>
    <hyperlink ref="N117" r:id="rId82" xr:uid="{00000000-0004-0000-0500-000051000000}"/>
    <hyperlink ref="N103" r:id="rId83" xr:uid="{00000000-0004-0000-0500-000052000000}"/>
    <hyperlink ref="N118" r:id="rId84" xr:uid="{00000000-0004-0000-0500-000053000000}"/>
    <hyperlink ref="N91" r:id="rId85" xr:uid="{00000000-0004-0000-0500-000054000000}"/>
    <hyperlink ref="N86" r:id="rId86" xr:uid="{00000000-0004-0000-0500-000055000000}"/>
    <hyperlink ref="N119" r:id="rId87" xr:uid="{00000000-0004-0000-0500-000056000000}"/>
    <hyperlink ref="N92" r:id="rId88" xr:uid="{00000000-0004-0000-0500-000057000000}"/>
    <hyperlink ref="N80" r:id="rId89" xr:uid="{00000000-0004-0000-0500-000058000000}"/>
    <hyperlink ref="N81" r:id="rId90" xr:uid="{00000000-0004-0000-0500-000059000000}"/>
    <hyperlink ref="N93" r:id="rId91" xr:uid="{00000000-0004-0000-0500-00005A000000}"/>
    <hyperlink ref="N99" r:id="rId92" xr:uid="{00000000-0004-0000-0500-00005B000000}"/>
    <hyperlink ref="N120" r:id="rId93" xr:uid="{00000000-0004-0000-0500-00005C000000}"/>
    <hyperlink ref="N82" r:id="rId94" xr:uid="{00000000-0004-0000-0500-00005D000000}"/>
    <hyperlink ref="N83" r:id="rId95" xr:uid="{00000000-0004-0000-0500-00005E000000}"/>
    <hyperlink ref="N100" r:id="rId96" xr:uid="{00000000-0004-0000-0500-00005F000000}"/>
    <hyperlink ref="N126" r:id="rId97" xr:uid="{00000000-0004-0000-0500-000060000000}"/>
    <hyperlink ref="N112" r:id="rId98" xr:uid="{00000000-0004-0000-0500-000061000000}"/>
    <hyperlink ref="N84" r:id="rId99" xr:uid="{00000000-0004-0000-0500-000062000000}"/>
    <hyperlink ref="N87" r:id="rId100" xr:uid="{00000000-0004-0000-0500-000063000000}"/>
    <hyperlink ref="N104" r:id="rId101" xr:uid="{00000000-0004-0000-0500-000064000000}"/>
    <hyperlink ref="N113" r:id="rId102" xr:uid="{00000000-0004-0000-0500-000065000000}"/>
    <hyperlink ref="N114" r:id="rId103" xr:uid="{00000000-0004-0000-0500-000066000000}"/>
    <hyperlink ref="N94" r:id="rId104" xr:uid="{00000000-0004-0000-0500-000067000000}"/>
    <hyperlink ref="N88" r:id="rId105" xr:uid="{00000000-0004-0000-0500-000068000000}"/>
    <hyperlink ref="N95" r:id="rId106" xr:uid="{00000000-0004-0000-0500-000069000000}"/>
    <hyperlink ref="N59" r:id="rId107" xr:uid="{00000000-0004-0000-0500-00006A000000}"/>
    <hyperlink ref="N47" r:id="rId108" xr:uid="{00000000-0004-0000-0500-00006B000000}"/>
    <hyperlink ref="N9" r:id="rId109" xr:uid="{00000000-0004-0000-0500-00006C000000}"/>
    <hyperlink ref="N35" r:id="rId110" xr:uid="{00000000-0004-0000-0500-00006D000000}"/>
    <hyperlink ref="N28" r:id="rId111" xr:uid="{00000000-0004-0000-0500-00006E000000}"/>
    <hyperlink ref="N10" r:id="rId112" xr:uid="{00000000-0004-0000-0500-00006F000000}"/>
    <hyperlink ref="N36" r:id="rId113" xr:uid="{00000000-0004-0000-0500-000070000000}"/>
    <hyperlink ref="N56" r:id="rId114" xr:uid="{00000000-0004-0000-0500-000071000000}"/>
    <hyperlink ref="N29" r:id="rId115" xr:uid="{00000000-0004-0000-0500-000072000000}"/>
    <hyperlink ref="N41" r:id="rId116" xr:uid="{00000000-0004-0000-0500-000073000000}"/>
    <hyperlink ref="N30" r:id="rId117" xr:uid="{00000000-0004-0000-0500-000074000000}"/>
    <hyperlink ref="N105" r:id="rId118" xr:uid="{00000000-0004-0000-0500-000075000000}"/>
    <hyperlink ref="N115" r:id="rId119" xr:uid="{00000000-0004-0000-0500-000076000000}"/>
    <hyperlink ref="N96" r:id="rId120" xr:uid="{00000000-0004-0000-0500-000077000000}"/>
    <hyperlink ref="N97" r:id="rId121" xr:uid="{00000000-0004-0000-0500-000078000000}"/>
    <hyperlink ref="N108" r:id="rId122" xr:uid="{00000000-0004-0000-0500-000079000000}"/>
    <hyperlink ref="N98" r:id="rId123" xr:uid="{00000000-0004-0000-0500-00007A000000}"/>
    <hyperlink ref="N107" r:id="rId124" xr:uid="{00000000-0004-0000-0500-00007B000000}"/>
    <hyperlink ref="N124" r:id="rId125" xr:uid="{00000000-0004-0000-0500-00007C000000}"/>
    <hyperlink ref="N106" r:id="rId126" xr:uid="{00000000-0004-0000-0500-00007D000000}"/>
  </hyperlinks>
  <pageMargins left="0.7" right="0.7" top="0.75" bottom="0.75" header="0.3" footer="0.3"/>
  <tableParts count="1">
    <tablePart r:id="rId12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13"/>
  <sheetViews>
    <sheetView topLeftCell="C1" workbookViewId="0">
      <selection activeCell="F19" sqref="F19"/>
    </sheetView>
  </sheetViews>
  <sheetFormatPr defaultColWidth="8.88671875" defaultRowHeight="15.6"/>
  <cols>
    <col min="1" max="2" width="0" style="90" hidden="1" customWidth="1"/>
    <col min="3" max="3" width="37.21875" style="90" customWidth="1"/>
    <col min="4" max="4" width="16.6640625" style="90" hidden="1" customWidth="1"/>
    <col min="5" max="5" width="15" style="90" hidden="1" customWidth="1"/>
    <col min="6" max="6" width="79.77734375" style="90" customWidth="1"/>
    <col min="7" max="8" width="0" style="90" hidden="1" customWidth="1"/>
    <col min="9" max="9" width="28.6640625" style="90" customWidth="1"/>
    <col min="10" max="10" width="0" style="90" hidden="1" customWidth="1"/>
    <col min="11" max="11" width="8.88671875" style="90"/>
    <col min="12" max="12" width="76.33203125" style="73" bestFit="1" customWidth="1"/>
    <col min="13" max="16384" width="8.88671875" style="90"/>
  </cols>
  <sheetData>
    <row r="1" spans="1:12" s="129" customFormat="1" ht="16.2">
      <c r="A1" s="129" t="s">
        <v>7452</v>
      </c>
      <c r="B1" s="129" t="s">
        <v>1619</v>
      </c>
      <c r="C1" s="129" t="s">
        <v>1620</v>
      </c>
      <c r="D1" s="129" t="s">
        <v>1621</v>
      </c>
      <c r="E1" s="129" t="s">
        <v>544</v>
      </c>
      <c r="F1" s="129" t="s">
        <v>1622</v>
      </c>
      <c r="G1" s="129" t="s">
        <v>545</v>
      </c>
      <c r="H1" s="129" t="s">
        <v>1624</v>
      </c>
      <c r="I1" s="129" t="s">
        <v>1625</v>
      </c>
      <c r="J1" s="129" t="s">
        <v>1626</v>
      </c>
      <c r="K1" s="129" t="s">
        <v>1623</v>
      </c>
      <c r="L1" s="122" t="s">
        <v>5722</v>
      </c>
    </row>
    <row r="2" spans="1:12">
      <c r="A2" s="90">
        <v>195</v>
      </c>
      <c r="B2" s="90" t="s">
        <v>5413</v>
      </c>
      <c r="C2" s="90" t="s">
        <v>7454</v>
      </c>
      <c r="D2" s="90">
        <v>9781522510413</v>
      </c>
      <c r="E2" s="90">
        <v>9781522510406</v>
      </c>
      <c r="F2" s="90" t="s">
        <v>6727</v>
      </c>
      <c r="G2" s="90">
        <v>1</v>
      </c>
      <c r="H2" s="90" t="s">
        <v>6518</v>
      </c>
      <c r="I2" s="90" t="s">
        <v>1509</v>
      </c>
      <c r="J2" s="90" t="s">
        <v>561</v>
      </c>
      <c r="K2" s="90">
        <v>2017</v>
      </c>
      <c r="L2" s="120" t="str">
        <f>HYPERLINK("http://services.igi-global.com/resolvedoi/resolve.aspx?doi=10.4018/978-1-52251-040-6")</f>
        <v>http://services.igi-global.com/resolvedoi/resolve.aspx?doi=10.4018/978-1-52251-040-6</v>
      </c>
    </row>
    <row r="3" spans="1:12">
      <c r="A3" s="90">
        <v>214</v>
      </c>
      <c r="B3" s="90" t="s">
        <v>5413</v>
      </c>
      <c r="C3" s="90" t="s">
        <v>7455</v>
      </c>
      <c r="D3" s="90">
        <v>9781466621978</v>
      </c>
      <c r="E3" s="90">
        <v>9781466621961</v>
      </c>
      <c r="F3" s="90" t="s">
        <v>6520</v>
      </c>
      <c r="G3" s="90">
        <v>1</v>
      </c>
      <c r="H3" s="90" t="s">
        <v>6518</v>
      </c>
      <c r="I3" s="90" t="s">
        <v>1022</v>
      </c>
      <c r="J3" s="90" t="s">
        <v>561</v>
      </c>
      <c r="K3" s="90">
        <v>2013</v>
      </c>
      <c r="L3" s="120" t="str">
        <f>HYPERLINK("http://services.igi-global.com/resolvedoi/resolve.aspx?doi=10.4018/978-1-46662-196-1")</f>
        <v>http://services.igi-global.com/resolvedoi/resolve.aspx?doi=10.4018/978-1-46662-196-1</v>
      </c>
    </row>
    <row r="4" spans="1:12">
      <c r="A4" s="90">
        <v>210</v>
      </c>
      <c r="B4" s="90" t="s">
        <v>5413</v>
      </c>
      <c r="C4" s="90" t="s">
        <v>7455</v>
      </c>
      <c r="D4" s="90">
        <v>9781466698833</v>
      </c>
      <c r="E4" s="90">
        <v>9781466698826</v>
      </c>
      <c r="F4" s="90" t="s">
        <v>6583</v>
      </c>
      <c r="G4" s="90">
        <v>1</v>
      </c>
      <c r="H4" s="90" t="s">
        <v>6518</v>
      </c>
      <c r="I4" s="90" t="s">
        <v>6584</v>
      </c>
      <c r="J4" s="90" t="s">
        <v>561</v>
      </c>
      <c r="K4" s="90">
        <v>2016</v>
      </c>
      <c r="L4" s="120" t="str">
        <f>HYPERLINK("http://services.igi-global.com/resolvedoi/resolve.aspx?doi=10.4018/978-1-46669-882-6")</f>
        <v>http://services.igi-global.com/resolvedoi/resolve.aspx?doi=10.4018/978-1-46669-882-6</v>
      </c>
    </row>
    <row r="5" spans="1:12">
      <c r="A5" s="90">
        <v>204</v>
      </c>
      <c r="B5" s="90" t="s">
        <v>5413</v>
      </c>
      <c r="C5" s="90" t="s">
        <v>7455</v>
      </c>
      <c r="D5" s="90">
        <v>9781522505921</v>
      </c>
      <c r="E5" s="90">
        <v>9781522505914</v>
      </c>
      <c r="F5" s="90" t="s">
        <v>6641</v>
      </c>
      <c r="G5" s="90">
        <v>1</v>
      </c>
      <c r="H5" s="90" t="s">
        <v>6518</v>
      </c>
      <c r="I5" s="90" t="s">
        <v>6642</v>
      </c>
      <c r="J5" s="90" t="s">
        <v>561</v>
      </c>
      <c r="K5" s="90">
        <v>2017</v>
      </c>
      <c r="L5" s="120" t="str">
        <f>HYPERLINK("http://services.igi-global.com/resolvedoi/resolve.aspx?doi=10.4018/978-1-52250-591-4")</f>
        <v>http://services.igi-global.com/resolvedoi/resolve.aspx?doi=10.4018/978-1-52250-591-4</v>
      </c>
    </row>
    <row r="6" spans="1:12">
      <c r="A6" s="90">
        <v>197</v>
      </c>
      <c r="B6" s="90" t="s">
        <v>5413</v>
      </c>
      <c r="C6" s="90" t="s">
        <v>7455</v>
      </c>
      <c r="D6" s="90">
        <v>9781522506089</v>
      </c>
      <c r="E6" s="90">
        <v>9781522506072</v>
      </c>
      <c r="F6" s="90" t="s">
        <v>6644</v>
      </c>
      <c r="G6" s="90">
        <v>1</v>
      </c>
      <c r="H6" s="90" t="s">
        <v>6518</v>
      </c>
      <c r="I6" s="90" t="s">
        <v>6645</v>
      </c>
      <c r="J6" s="90" t="s">
        <v>561</v>
      </c>
      <c r="K6" s="90">
        <v>2017</v>
      </c>
      <c r="L6" s="120" t="str">
        <f>HYPERLINK("http://services.igi-global.com/resolvedoi/resolve.aspx?doi=10.4018/978-1-52250-607-2")</f>
        <v>http://services.igi-global.com/resolvedoi/resolve.aspx?doi=10.4018/978-1-52250-607-2</v>
      </c>
    </row>
    <row r="7" spans="1:12">
      <c r="A7" s="90">
        <v>206</v>
      </c>
      <c r="B7" s="90" t="s">
        <v>5413</v>
      </c>
      <c r="C7" s="90" t="s">
        <v>7455</v>
      </c>
      <c r="D7" s="90">
        <v>9781522506416</v>
      </c>
      <c r="E7" s="90">
        <v>9781522506409</v>
      </c>
      <c r="F7" s="90" t="s">
        <v>6650</v>
      </c>
      <c r="G7" s="90">
        <v>1</v>
      </c>
      <c r="H7" s="90" t="s">
        <v>6518</v>
      </c>
      <c r="I7" s="90" t="s">
        <v>6651</v>
      </c>
      <c r="J7" s="90" t="s">
        <v>561</v>
      </c>
      <c r="K7" s="90">
        <v>2017</v>
      </c>
      <c r="L7" s="120" t="str">
        <f>HYPERLINK("http://services.igi-global.com/resolvedoi/resolve.aspx?doi=10.4018/978-1-52250-640-9")</f>
        <v>http://services.igi-global.com/resolvedoi/resolve.aspx?doi=10.4018/978-1-52250-640-9</v>
      </c>
    </row>
    <row r="8" spans="1:12">
      <c r="A8" s="90">
        <v>207</v>
      </c>
      <c r="B8" s="90" t="s">
        <v>5413</v>
      </c>
      <c r="C8" s="90" t="s">
        <v>7455</v>
      </c>
      <c r="D8" s="90">
        <v>9781522506645</v>
      </c>
      <c r="E8" s="90">
        <v>9781522506638</v>
      </c>
      <c r="F8" s="90" t="s">
        <v>6655</v>
      </c>
      <c r="G8" s="90">
        <v>1</v>
      </c>
      <c r="H8" s="90" t="s">
        <v>6518</v>
      </c>
      <c r="I8" s="90" t="s">
        <v>6656</v>
      </c>
      <c r="J8" s="90" t="s">
        <v>561</v>
      </c>
      <c r="K8" s="90">
        <v>2017</v>
      </c>
      <c r="L8" s="120" t="str">
        <f>HYPERLINK("http://services.igi-global.com/resolvedoi/resolve.aspx?doi=10.4018/978-1-52250-663-8")</f>
        <v>http://services.igi-global.com/resolvedoi/resolve.aspx?doi=10.4018/978-1-52250-663-8</v>
      </c>
    </row>
    <row r="9" spans="1:12">
      <c r="A9" s="90">
        <v>201</v>
      </c>
      <c r="B9" s="90" t="s">
        <v>5413</v>
      </c>
      <c r="C9" s="90" t="s">
        <v>7455</v>
      </c>
      <c r="D9" s="90">
        <v>9781522509219</v>
      </c>
      <c r="E9" s="90">
        <v>9781522509202</v>
      </c>
      <c r="F9" s="90" t="s">
        <v>6698</v>
      </c>
      <c r="G9" s="90">
        <v>1</v>
      </c>
      <c r="H9" s="90" t="s">
        <v>6518</v>
      </c>
      <c r="I9" s="90" t="s">
        <v>6699</v>
      </c>
      <c r="J9" s="90" t="s">
        <v>561</v>
      </c>
      <c r="K9" s="90">
        <v>2017</v>
      </c>
      <c r="L9" s="120" t="str">
        <f>HYPERLINK("http://services.igi-global.com/resolvedoi/resolve.aspx?doi=10.4018/978-1-52250-920-2")</f>
        <v>http://services.igi-global.com/resolvedoi/resolve.aspx?doi=10.4018/978-1-52250-920-2</v>
      </c>
    </row>
    <row r="10" spans="1:12">
      <c r="A10" s="90">
        <v>199</v>
      </c>
      <c r="B10" s="90" t="s">
        <v>5413</v>
      </c>
      <c r="C10" s="90" t="s">
        <v>7455</v>
      </c>
      <c r="D10" s="90">
        <v>9781522510031</v>
      </c>
      <c r="E10" s="90">
        <v>9781522510024</v>
      </c>
      <c r="F10" s="90" t="s">
        <v>6713</v>
      </c>
      <c r="G10" s="90">
        <v>1</v>
      </c>
      <c r="H10" s="90" t="s">
        <v>6518</v>
      </c>
      <c r="I10" s="90" t="s">
        <v>6714</v>
      </c>
      <c r="J10" s="90" t="s">
        <v>561</v>
      </c>
      <c r="K10" s="90">
        <v>2017</v>
      </c>
      <c r="L10" s="120" t="str">
        <f>HYPERLINK("http://services.igi-global.com/resolvedoi/resolve.aspx?doi=10.4018/978-1-52251-002-4")</f>
        <v>http://services.igi-global.com/resolvedoi/resolve.aspx?doi=10.4018/978-1-52251-002-4</v>
      </c>
    </row>
    <row r="11" spans="1:12">
      <c r="A11" s="90">
        <v>192</v>
      </c>
      <c r="B11" s="90" t="s">
        <v>5413</v>
      </c>
      <c r="C11" s="90" t="s">
        <v>7455</v>
      </c>
      <c r="D11" s="90">
        <v>9781522519041</v>
      </c>
      <c r="E11" s="90">
        <v>9781522519034</v>
      </c>
      <c r="F11" s="90" t="s">
        <v>6782</v>
      </c>
      <c r="G11" s="90">
        <v>1</v>
      </c>
      <c r="H11" s="90" t="s">
        <v>6518</v>
      </c>
      <c r="I11" s="90" t="s">
        <v>1424</v>
      </c>
      <c r="J11" s="90" t="s">
        <v>561</v>
      </c>
      <c r="K11" s="90">
        <v>2017</v>
      </c>
      <c r="L11" s="120" t="str">
        <f>HYPERLINK("http://services.igi-global.com/resolvedoi/resolve.aspx?doi=10.4018/978-1-52251-903-4")</f>
        <v>http://services.igi-global.com/resolvedoi/resolve.aspx?doi=10.4018/978-1-52251-903-4</v>
      </c>
    </row>
    <row r="12" spans="1:12">
      <c r="A12" s="90">
        <v>190</v>
      </c>
      <c r="B12" s="90" t="s">
        <v>5413</v>
      </c>
      <c r="C12" s="90" t="s">
        <v>7455</v>
      </c>
      <c r="D12" s="90">
        <v>9781522522386</v>
      </c>
      <c r="E12" s="90">
        <v>9781522522379</v>
      </c>
      <c r="F12" s="90" t="s">
        <v>6840</v>
      </c>
      <c r="G12" s="90">
        <v>3</v>
      </c>
      <c r="H12" s="90" t="s">
        <v>6518</v>
      </c>
      <c r="I12" s="90" t="s">
        <v>3446</v>
      </c>
      <c r="J12" s="90" t="s">
        <v>561</v>
      </c>
      <c r="K12" s="90">
        <v>2017</v>
      </c>
      <c r="L12" s="120" t="str">
        <f>HYPERLINK("http://services.igi-global.com/resolvedoi/resolve.aspx?doi=10.4018/978-1-52252-237-9")</f>
        <v>http://services.igi-global.com/resolvedoi/resolve.aspx?doi=10.4018/978-1-52252-237-9</v>
      </c>
    </row>
    <row r="13" spans="1:12">
      <c r="A13" s="90">
        <v>212</v>
      </c>
      <c r="B13" s="90" t="s">
        <v>5413</v>
      </c>
      <c r="C13" s="90" t="s">
        <v>7456</v>
      </c>
      <c r="D13" s="90">
        <v>9781466699458</v>
      </c>
      <c r="E13" s="90">
        <v>9781466699441</v>
      </c>
      <c r="F13" s="90" t="s">
        <v>6593</v>
      </c>
      <c r="G13" s="90">
        <v>1</v>
      </c>
      <c r="H13" s="90" t="s">
        <v>6518</v>
      </c>
      <c r="I13" s="90" t="s">
        <v>6594</v>
      </c>
      <c r="J13" s="90" t="s">
        <v>561</v>
      </c>
      <c r="K13" s="90">
        <v>2016</v>
      </c>
      <c r="L13" s="120" t="str">
        <f>HYPERLINK("http://services.igi-global.com/resolvedoi/resolve.aspx?doi=10.4018/978-1-46669-944-1")</f>
        <v>http://services.igi-global.com/resolvedoi/resolve.aspx?doi=10.4018/978-1-46669-944-1</v>
      </c>
    </row>
    <row r="14" spans="1:12">
      <c r="A14" s="90">
        <v>211</v>
      </c>
      <c r="B14" s="90" t="s">
        <v>5413</v>
      </c>
      <c r="C14" s="90" t="s">
        <v>7457</v>
      </c>
      <c r="D14" s="90">
        <v>9781466698710</v>
      </c>
      <c r="E14" s="90">
        <v>9781466698703</v>
      </c>
      <c r="F14" s="90" t="s">
        <v>6581</v>
      </c>
      <c r="G14" s="90">
        <v>1</v>
      </c>
      <c r="H14" s="90" t="s">
        <v>6518</v>
      </c>
      <c r="I14" s="90" t="s">
        <v>6582</v>
      </c>
      <c r="J14" s="90" t="s">
        <v>561</v>
      </c>
      <c r="K14" s="90">
        <v>2016</v>
      </c>
      <c r="L14" s="120" t="str">
        <f>HYPERLINK("http://services.igi-global.com/resolvedoi/resolve.aspx?doi=10.4018/978-1-46669-870-3")</f>
        <v>http://services.igi-global.com/resolvedoi/resolve.aspx?doi=10.4018/978-1-46669-870-3</v>
      </c>
    </row>
    <row r="15" spans="1:12">
      <c r="A15" s="90">
        <v>209</v>
      </c>
      <c r="B15" s="90" t="s">
        <v>5413</v>
      </c>
      <c r="C15" s="90" t="s">
        <v>7457</v>
      </c>
      <c r="D15" s="90">
        <v>9781466699793</v>
      </c>
      <c r="E15" s="90">
        <v>9781466699786</v>
      </c>
      <c r="F15" s="90" t="s">
        <v>6597</v>
      </c>
      <c r="G15" s="90">
        <v>2</v>
      </c>
      <c r="H15" s="90" t="s">
        <v>6518</v>
      </c>
      <c r="I15" s="90" t="s">
        <v>579</v>
      </c>
      <c r="J15" s="90" t="s">
        <v>561</v>
      </c>
      <c r="K15" s="90">
        <v>2016</v>
      </c>
      <c r="L15" s="120" t="str">
        <f>HYPERLINK("http://services.igi-global.com/resolvedoi/resolve.aspx?doi=10.4018/978-1-46669-978-6")</f>
        <v>http://services.igi-global.com/resolvedoi/resolve.aspx?doi=10.4018/978-1-46669-978-6</v>
      </c>
    </row>
    <row r="16" spans="1:12">
      <c r="A16" s="90">
        <v>203</v>
      </c>
      <c r="B16" s="90" t="s">
        <v>5413</v>
      </c>
      <c r="C16" s="90" t="s">
        <v>7457</v>
      </c>
      <c r="D16" s="90">
        <v>9781522506614</v>
      </c>
      <c r="E16" s="90">
        <v>9781522506607</v>
      </c>
      <c r="F16" s="90" t="s">
        <v>6653</v>
      </c>
      <c r="G16" s="90">
        <v>1</v>
      </c>
      <c r="H16" s="90" t="s">
        <v>6518</v>
      </c>
      <c r="I16" s="90" t="s">
        <v>6654</v>
      </c>
      <c r="J16" s="90" t="s">
        <v>561</v>
      </c>
      <c r="K16" s="90">
        <v>2017</v>
      </c>
      <c r="L16" s="120" t="str">
        <f>HYPERLINK("http://services.igi-global.com/resolvedoi/resolve.aspx?doi=10.4018/978-1-52250-660-7")</f>
        <v>http://services.igi-global.com/resolvedoi/resolve.aspx?doi=10.4018/978-1-52250-660-7</v>
      </c>
    </row>
    <row r="17" spans="1:12">
      <c r="A17" s="90">
        <v>191</v>
      </c>
      <c r="B17" s="90" t="s">
        <v>5413</v>
      </c>
      <c r="C17" s="90" t="s">
        <v>7457</v>
      </c>
      <c r="D17" s="90">
        <v>9781522520733</v>
      </c>
      <c r="E17" s="90">
        <v>9781522520726</v>
      </c>
      <c r="F17" s="90" t="s">
        <v>6814</v>
      </c>
      <c r="G17" s="90">
        <v>1</v>
      </c>
      <c r="H17" s="90" t="s">
        <v>6518</v>
      </c>
      <c r="I17" s="90" t="s">
        <v>6815</v>
      </c>
      <c r="J17" s="90" t="s">
        <v>561</v>
      </c>
      <c r="K17" s="90">
        <v>2017</v>
      </c>
      <c r="L17" s="120" t="str">
        <f>HYPERLINK("http://services.igi-global.com/resolvedoi/resolve.aspx?doi=10.4018/978-1-52252-072-6")</f>
        <v>http://services.igi-global.com/resolvedoi/resolve.aspx?doi=10.4018/978-1-52252-072-6</v>
      </c>
    </row>
    <row r="18" spans="1:12">
      <c r="A18" s="90">
        <v>215</v>
      </c>
      <c r="B18" s="90" t="s">
        <v>5413</v>
      </c>
      <c r="C18" s="90" t="s">
        <v>7457</v>
      </c>
      <c r="D18" s="90">
        <v>9781609608675</v>
      </c>
      <c r="E18" s="90">
        <v>9781609608668</v>
      </c>
      <c r="F18" s="90" t="s">
        <v>6841</v>
      </c>
      <c r="G18" s="90">
        <v>1</v>
      </c>
      <c r="H18" s="90" t="s">
        <v>6518</v>
      </c>
      <c r="I18" s="90" t="s">
        <v>6842</v>
      </c>
      <c r="J18" s="90" t="s">
        <v>561</v>
      </c>
      <c r="K18" s="90">
        <v>2012</v>
      </c>
      <c r="L18" s="120" t="str">
        <f>HYPERLINK("http://services.igi-global.com/resolvedoi/resolve.aspx?doi=10.4018/978-1-60960-866-8")</f>
        <v>http://services.igi-global.com/resolvedoi/resolve.aspx?doi=10.4018/978-1-60960-866-8</v>
      </c>
    </row>
    <row r="19" spans="1:12">
      <c r="A19" s="90">
        <v>198</v>
      </c>
      <c r="B19" s="90" t="s">
        <v>5413</v>
      </c>
      <c r="C19" s="90" t="s">
        <v>7458</v>
      </c>
      <c r="D19" s="90">
        <v>9781522506119</v>
      </c>
      <c r="E19" s="90">
        <v>9781522506102</v>
      </c>
      <c r="F19" s="90" t="s">
        <v>6646</v>
      </c>
      <c r="G19" s="90">
        <v>1</v>
      </c>
      <c r="H19" s="90" t="s">
        <v>6518</v>
      </c>
      <c r="I19" s="90" t="s">
        <v>6647</v>
      </c>
      <c r="J19" s="90" t="s">
        <v>561</v>
      </c>
      <c r="K19" s="90">
        <v>2017</v>
      </c>
      <c r="L19" s="120" t="str">
        <f>HYPERLINK("http://services.igi-global.com/resolvedoi/resolve.aspx?doi=10.4018/978-1-52250-610-2")</f>
        <v>http://services.igi-global.com/resolvedoi/resolve.aspx?doi=10.4018/978-1-52250-610-2</v>
      </c>
    </row>
    <row r="20" spans="1:12">
      <c r="A20" s="90">
        <v>202</v>
      </c>
      <c r="B20" s="90" t="s">
        <v>5413</v>
      </c>
      <c r="C20" s="90" t="s">
        <v>7458</v>
      </c>
      <c r="D20" s="90">
        <v>9781522510444</v>
      </c>
      <c r="E20" s="90">
        <v>9781522510437</v>
      </c>
      <c r="F20" s="90" t="s">
        <v>6728</v>
      </c>
      <c r="G20" s="90">
        <v>1</v>
      </c>
      <c r="H20" s="90" t="s">
        <v>6518</v>
      </c>
      <c r="I20" s="90" t="s">
        <v>6729</v>
      </c>
      <c r="J20" s="90" t="s">
        <v>561</v>
      </c>
      <c r="K20" s="90">
        <v>2017</v>
      </c>
      <c r="L20" s="120" t="str">
        <f>HYPERLINK("http://services.igi-global.com/resolvedoi/resolve.aspx?doi=10.4018/978-1-52251-043-7")</f>
        <v>http://services.igi-global.com/resolvedoi/resolve.aspx?doi=10.4018/978-1-52251-043-7</v>
      </c>
    </row>
    <row r="21" spans="1:12">
      <c r="A21" s="90">
        <v>213</v>
      </c>
      <c r="B21" s="90" t="s">
        <v>5413</v>
      </c>
      <c r="C21" s="90" t="s">
        <v>7459</v>
      </c>
      <c r="D21" s="90">
        <v>9781466625075</v>
      </c>
      <c r="E21" s="90">
        <v>9781466625068</v>
      </c>
      <c r="F21" s="90" t="s">
        <v>6521</v>
      </c>
      <c r="G21" s="90">
        <v>1</v>
      </c>
      <c r="H21" s="90" t="s">
        <v>6518</v>
      </c>
      <c r="I21" s="90" t="s">
        <v>6522</v>
      </c>
      <c r="J21" s="90" t="s">
        <v>561</v>
      </c>
      <c r="K21" s="90">
        <v>2013</v>
      </c>
      <c r="L21" s="120" t="str">
        <f>HYPERLINK("http://services.igi-global.com/resolvedoi/resolve.aspx?doi=10.4018/978-1-46662-506-8")</f>
        <v>http://services.igi-global.com/resolvedoi/resolve.aspx?doi=10.4018/978-1-46662-506-8</v>
      </c>
    </row>
    <row r="22" spans="1:12">
      <c r="A22" s="90">
        <v>208</v>
      </c>
      <c r="B22" s="90" t="s">
        <v>5413</v>
      </c>
      <c r="C22" s="90" t="s">
        <v>7460</v>
      </c>
      <c r="D22" s="90">
        <v>9781522506386</v>
      </c>
      <c r="E22" s="90">
        <v>9781522505495</v>
      </c>
      <c r="F22" s="90" t="s">
        <v>6634</v>
      </c>
      <c r="G22" s="90">
        <v>2</v>
      </c>
      <c r="H22" s="90" t="s">
        <v>6518</v>
      </c>
      <c r="I22" s="90" t="s">
        <v>1424</v>
      </c>
      <c r="J22" s="90" t="s">
        <v>561</v>
      </c>
      <c r="K22" s="90">
        <v>2017</v>
      </c>
      <c r="L22" s="120" t="str">
        <f>HYPERLINK("http://services.igi-global.com/resolvedoi/resolve.aspx?doi=10.4018/978-1-52250-549-5")</f>
        <v>http://services.igi-global.com/resolvedoi/resolve.aspx?doi=10.4018/978-1-52250-549-5</v>
      </c>
    </row>
    <row r="23" spans="1:12">
      <c r="A23" s="90">
        <v>196</v>
      </c>
      <c r="B23" s="90" t="s">
        <v>5413</v>
      </c>
      <c r="C23" s="90" t="s">
        <v>7461</v>
      </c>
      <c r="D23" s="90">
        <v>9781522509264</v>
      </c>
      <c r="E23" s="90">
        <v>9781522509257</v>
      </c>
      <c r="F23" s="90" t="s">
        <v>6700</v>
      </c>
      <c r="G23" s="90">
        <v>1</v>
      </c>
      <c r="H23" s="90" t="s">
        <v>6518</v>
      </c>
      <c r="I23" s="90" t="s">
        <v>1022</v>
      </c>
      <c r="J23" s="90" t="s">
        <v>561</v>
      </c>
      <c r="K23" s="90">
        <v>2017</v>
      </c>
      <c r="L23" s="120" t="str">
        <f>HYPERLINK("http://services.igi-global.com/resolvedoi/resolve.aspx?doi=10.4018/978-1-52250-925-7")</f>
        <v>http://services.igi-global.com/resolvedoi/resolve.aspx?doi=10.4018/978-1-52250-925-7</v>
      </c>
    </row>
    <row r="24" spans="1:12">
      <c r="A24" s="90">
        <v>194</v>
      </c>
      <c r="B24" s="90" t="s">
        <v>5413</v>
      </c>
      <c r="C24" s="90" t="s">
        <v>7462</v>
      </c>
      <c r="D24" s="90">
        <v>9781522518754</v>
      </c>
      <c r="E24" s="90">
        <v>9781522518747</v>
      </c>
      <c r="F24" s="90" t="s">
        <v>6775</v>
      </c>
      <c r="G24" s="90">
        <v>1</v>
      </c>
      <c r="H24" s="90" t="s">
        <v>6518</v>
      </c>
      <c r="I24" s="90" t="s">
        <v>6776</v>
      </c>
      <c r="J24" s="90" t="s">
        <v>569</v>
      </c>
      <c r="K24" s="90">
        <v>2017</v>
      </c>
      <c r="L24" s="120" t="str">
        <f>HYPERLINK("http://services.igi-global.com/resolvedoi/resolve.aspx?doi=10.4018/978-1-52251-874-7")</f>
        <v>http://services.igi-global.com/resolvedoi/resolve.aspx?doi=10.4018/978-1-52251-874-7</v>
      </c>
    </row>
    <row r="25" spans="1:12">
      <c r="A25" s="90">
        <v>205</v>
      </c>
      <c r="B25" s="90" t="s">
        <v>5413</v>
      </c>
      <c r="C25" s="90" t="s">
        <v>7463</v>
      </c>
      <c r="D25" s="90">
        <v>9781522507529</v>
      </c>
      <c r="E25" s="90">
        <v>9781522507512</v>
      </c>
      <c r="F25" s="90" t="s">
        <v>6670</v>
      </c>
      <c r="G25" s="90">
        <v>1</v>
      </c>
      <c r="H25" s="90" t="s">
        <v>6518</v>
      </c>
      <c r="I25" s="90" t="s">
        <v>6671</v>
      </c>
      <c r="J25" s="90" t="s">
        <v>561</v>
      </c>
      <c r="K25" s="90">
        <v>2017</v>
      </c>
      <c r="L25" s="120" t="str">
        <f>HYPERLINK("http://services.igi-global.com/resolvedoi/resolve.aspx?doi=10.4018/978-1-52250-751-2")</f>
        <v>http://services.igi-global.com/resolvedoi/resolve.aspx?doi=10.4018/978-1-52250-751-2</v>
      </c>
    </row>
    <row r="26" spans="1:12">
      <c r="A26" s="90">
        <v>200</v>
      </c>
      <c r="B26" s="90" t="s">
        <v>5413</v>
      </c>
      <c r="C26" s="90" t="s">
        <v>7463</v>
      </c>
      <c r="D26" s="90">
        <v>9781522507550</v>
      </c>
      <c r="E26" s="90">
        <v>9781522507543</v>
      </c>
      <c r="F26" s="90" t="s">
        <v>6672</v>
      </c>
      <c r="G26" s="90">
        <v>1</v>
      </c>
      <c r="H26" s="90" t="s">
        <v>6518</v>
      </c>
      <c r="I26" s="90" t="s">
        <v>6671</v>
      </c>
      <c r="J26" s="90" t="s">
        <v>561</v>
      </c>
      <c r="K26" s="90">
        <v>2017</v>
      </c>
      <c r="L26" s="120" t="str">
        <f>HYPERLINK("http://services.igi-global.com/resolvedoi/resolve.aspx?doi=10.4018/978-1-52250-754-3")</f>
        <v>http://services.igi-global.com/resolvedoi/resolve.aspx?doi=10.4018/978-1-52250-754-3</v>
      </c>
    </row>
    <row r="27" spans="1:12">
      <c r="A27" s="90">
        <v>193</v>
      </c>
      <c r="B27" s="90" t="s">
        <v>5413</v>
      </c>
      <c r="C27" s="90" t="s">
        <v>7463</v>
      </c>
      <c r="D27" s="90">
        <v>9781522517634</v>
      </c>
      <c r="E27" s="90">
        <v>9781522517627</v>
      </c>
      <c r="F27" s="90" t="s">
        <v>6760</v>
      </c>
      <c r="G27" s="90">
        <v>2</v>
      </c>
      <c r="H27" s="90" t="s">
        <v>6518</v>
      </c>
      <c r="I27" s="90" t="s">
        <v>1424</v>
      </c>
      <c r="J27" s="90" t="s">
        <v>561</v>
      </c>
      <c r="K27" s="90">
        <v>2017</v>
      </c>
      <c r="L27" s="120" t="str">
        <f>HYPERLINK("http://services.igi-global.com/resolvedoi/resolve.aspx?doi=10.4018/978-1-52251-762-7")</f>
        <v>http://services.igi-global.com/resolvedoi/resolve.aspx?doi=10.4018/978-1-52251-762-7</v>
      </c>
    </row>
    <row r="28" spans="1:12">
      <c r="A28" s="90">
        <v>250</v>
      </c>
      <c r="B28" s="90" t="s">
        <v>571</v>
      </c>
      <c r="C28" s="90" t="s">
        <v>7464</v>
      </c>
      <c r="D28" s="90">
        <v>9781522516408</v>
      </c>
      <c r="E28" s="90">
        <v>9781522516392</v>
      </c>
      <c r="F28" s="90" t="s">
        <v>6734</v>
      </c>
      <c r="G28" s="90">
        <v>1</v>
      </c>
      <c r="H28" s="90" t="s">
        <v>6518</v>
      </c>
      <c r="I28" s="90" t="s">
        <v>6735</v>
      </c>
      <c r="J28" s="90" t="s">
        <v>1233</v>
      </c>
      <c r="K28" s="90">
        <v>2017</v>
      </c>
      <c r="L28" s="120" t="str">
        <f>HYPERLINK("http://services.igi-global.com/resolvedoi/resolve.aspx?doi=10.4018/978-1-52251-639-2")</f>
        <v>http://services.igi-global.com/resolvedoi/resolve.aspx?doi=10.4018/978-1-52251-639-2</v>
      </c>
    </row>
    <row r="29" spans="1:12">
      <c r="A29" s="90">
        <v>265</v>
      </c>
      <c r="B29" s="90" t="s">
        <v>571</v>
      </c>
      <c r="C29" s="90" t="s">
        <v>7465</v>
      </c>
      <c r="D29" s="90">
        <v>9781466660151</v>
      </c>
      <c r="E29" s="90">
        <v>9781466660144</v>
      </c>
      <c r="F29" s="90" t="s">
        <v>6539</v>
      </c>
      <c r="G29" s="90">
        <v>1</v>
      </c>
      <c r="H29" s="90" t="s">
        <v>6518</v>
      </c>
      <c r="I29" s="90" t="s">
        <v>6540</v>
      </c>
      <c r="J29" s="90" t="s">
        <v>1233</v>
      </c>
      <c r="K29" s="90">
        <v>2014</v>
      </c>
      <c r="L29" s="120" t="str">
        <f>HYPERLINK("http://services.igi-global.com/resolvedoi/resolve.aspx?doi=10.4018/978-1-46666-014-4")</f>
        <v>http://services.igi-global.com/resolvedoi/resolve.aspx?doi=10.4018/978-1-46666-014-4</v>
      </c>
    </row>
    <row r="30" spans="1:12">
      <c r="A30" s="90">
        <v>259</v>
      </c>
      <c r="B30" s="90" t="s">
        <v>571</v>
      </c>
      <c r="C30" s="90" t="s">
        <v>7466</v>
      </c>
      <c r="D30" s="90">
        <v>9781522503309</v>
      </c>
      <c r="E30" s="90">
        <v>9781522503293</v>
      </c>
      <c r="F30" s="90" t="s">
        <v>6613</v>
      </c>
      <c r="G30" s="90">
        <v>1</v>
      </c>
      <c r="H30" s="90" t="s">
        <v>6518</v>
      </c>
      <c r="I30" s="90" t="s">
        <v>6614</v>
      </c>
      <c r="J30" s="90" t="s">
        <v>1233</v>
      </c>
      <c r="K30" s="90">
        <v>2016</v>
      </c>
      <c r="L30" s="120" t="str">
        <f>HYPERLINK("http://services.igi-global.com/resolvedoi/resolve.aspx?doi=10.4018/978-1-52250-329-3")</f>
        <v>http://services.igi-global.com/resolvedoi/resolve.aspx?doi=10.4018/978-1-52250-329-3</v>
      </c>
    </row>
    <row r="31" spans="1:12">
      <c r="A31" s="90">
        <v>257</v>
      </c>
      <c r="B31" s="90" t="s">
        <v>571</v>
      </c>
      <c r="C31" s="90" t="s">
        <v>7466</v>
      </c>
      <c r="D31" s="90">
        <v>9781522504252</v>
      </c>
      <c r="E31" s="90">
        <v>9781522504245</v>
      </c>
      <c r="F31" s="90" t="s">
        <v>6622</v>
      </c>
      <c r="G31" s="90">
        <v>1</v>
      </c>
      <c r="H31" s="90" t="s">
        <v>6518</v>
      </c>
      <c r="I31" s="90" t="s">
        <v>6623</v>
      </c>
      <c r="J31" s="90" t="s">
        <v>1233</v>
      </c>
      <c r="K31" s="90">
        <v>2016</v>
      </c>
      <c r="L31" s="120" t="str">
        <f>HYPERLINK("http://services.igi-global.com/resolvedoi/resolve.aspx?doi=10.4018/978-1-52250-424-5")</f>
        <v>http://services.igi-global.com/resolvedoi/resolve.aspx?doi=10.4018/978-1-52250-424-5</v>
      </c>
    </row>
    <row r="32" spans="1:12" ht="16.2">
      <c r="A32" s="90">
        <v>14</v>
      </c>
      <c r="B32" s="90" t="s">
        <v>571</v>
      </c>
      <c r="C32" s="90" t="s">
        <v>7466</v>
      </c>
      <c r="D32" s="90" t="s">
        <v>6918</v>
      </c>
      <c r="E32" s="90" t="s">
        <v>6919</v>
      </c>
      <c r="F32" s="90" t="s">
        <v>6920</v>
      </c>
      <c r="G32" s="90">
        <v>1</v>
      </c>
      <c r="H32" s="90" t="s">
        <v>6518</v>
      </c>
      <c r="I32" s="90" t="s">
        <v>6921</v>
      </c>
      <c r="J32" s="90" t="s">
        <v>1233</v>
      </c>
      <c r="K32" s="90" t="s">
        <v>6871</v>
      </c>
      <c r="L32" s="127" t="s">
        <v>6922</v>
      </c>
    </row>
    <row r="33" spans="1:12">
      <c r="A33" s="90">
        <v>244</v>
      </c>
      <c r="B33" s="90" t="s">
        <v>571</v>
      </c>
      <c r="C33" s="90" t="s">
        <v>7467</v>
      </c>
      <c r="D33" s="90">
        <v>9781466625198</v>
      </c>
      <c r="E33" s="90">
        <v>9781466625181</v>
      </c>
      <c r="F33" s="90" t="s">
        <v>6523</v>
      </c>
      <c r="G33" s="90">
        <v>2</v>
      </c>
      <c r="H33" s="90" t="s">
        <v>6518</v>
      </c>
      <c r="I33" s="90" t="s">
        <v>5648</v>
      </c>
      <c r="J33" s="90" t="s">
        <v>569</v>
      </c>
      <c r="K33" s="90">
        <v>2013</v>
      </c>
      <c r="L33" s="120" t="str">
        <f>HYPERLINK("http://services.igi-global.com/resolvedoi/resolve.aspx?doi=10.4018/978-1-46662-518-1")</f>
        <v>http://services.igi-global.com/resolvedoi/resolve.aspx?doi=10.4018/978-1-46662-518-1</v>
      </c>
    </row>
    <row r="34" spans="1:12">
      <c r="A34" s="90">
        <v>243</v>
      </c>
      <c r="B34" s="90" t="s">
        <v>571</v>
      </c>
      <c r="C34" s="90" t="s">
        <v>7467</v>
      </c>
      <c r="D34" s="90">
        <v>9781466627802</v>
      </c>
      <c r="E34" s="90">
        <v>9781466627796</v>
      </c>
      <c r="F34" s="90" t="s">
        <v>6524</v>
      </c>
      <c r="G34" s="90">
        <v>1</v>
      </c>
      <c r="H34" s="90" t="s">
        <v>6518</v>
      </c>
      <c r="I34" s="90" t="s">
        <v>6525</v>
      </c>
      <c r="J34" s="90" t="s">
        <v>569</v>
      </c>
      <c r="K34" s="90">
        <v>2013</v>
      </c>
      <c r="L34" s="120" t="str">
        <f>HYPERLINK("http://services.igi-global.com/resolvedoi/resolve.aspx?doi=10.4018/978-1-46662-779-6")</f>
        <v>http://services.igi-global.com/resolvedoi/resolve.aspx?doi=10.4018/978-1-46662-779-6</v>
      </c>
    </row>
    <row r="35" spans="1:12">
      <c r="A35" s="90">
        <v>242</v>
      </c>
      <c r="B35" s="90" t="s">
        <v>571</v>
      </c>
      <c r="C35" s="90" t="s">
        <v>7467</v>
      </c>
      <c r="D35" s="90">
        <v>9781466642300</v>
      </c>
      <c r="E35" s="90">
        <v>9781466642294</v>
      </c>
      <c r="F35" s="90" t="s">
        <v>6527</v>
      </c>
      <c r="G35" s="90">
        <v>1</v>
      </c>
      <c r="H35" s="90" t="s">
        <v>6518</v>
      </c>
      <c r="I35" s="90" t="s">
        <v>2573</v>
      </c>
      <c r="J35" s="90" t="s">
        <v>569</v>
      </c>
      <c r="K35" s="90">
        <v>2013</v>
      </c>
      <c r="L35" s="120" t="str">
        <f>HYPERLINK("http://services.igi-global.com/resolvedoi/resolve.aspx?doi=10.4018/978-1-46664-229-4")</f>
        <v>http://services.igi-global.com/resolvedoi/resolve.aspx?doi=10.4018/978-1-46664-229-4</v>
      </c>
    </row>
    <row r="36" spans="1:12">
      <c r="A36" s="90">
        <v>241</v>
      </c>
      <c r="B36" s="90" t="s">
        <v>571</v>
      </c>
      <c r="C36" s="90" t="s">
        <v>7467</v>
      </c>
      <c r="D36" s="90">
        <v>9781466646605</v>
      </c>
      <c r="E36" s="90">
        <v>9781466646599</v>
      </c>
      <c r="F36" s="90" t="s">
        <v>6530</v>
      </c>
      <c r="G36" s="90">
        <v>1</v>
      </c>
      <c r="H36" s="90" t="s">
        <v>6518</v>
      </c>
      <c r="I36" s="90" t="s">
        <v>6531</v>
      </c>
      <c r="J36" s="90" t="s">
        <v>569</v>
      </c>
      <c r="K36" s="90">
        <v>2014</v>
      </c>
      <c r="L36" s="120" t="str">
        <f>HYPERLINK("http://services.igi-global.com/resolvedoi/resolve.aspx?doi=10.4018/978-1-46664-659-9")</f>
        <v>http://services.igi-global.com/resolvedoi/resolve.aspx?doi=10.4018/978-1-46664-659-9</v>
      </c>
    </row>
    <row r="37" spans="1:12">
      <c r="A37" s="90">
        <v>240</v>
      </c>
      <c r="B37" s="90" t="s">
        <v>571</v>
      </c>
      <c r="C37" s="90" t="s">
        <v>7467</v>
      </c>
      <c r="D37" s="90">
        <v>9781466659674</v>
      </c>
      <c r="E37" s="90">
        <v>9781466659667</v>
      </c>
      <c r="F37" s="90" t="s">
        <v>6536</v>
      </c>
      <c r="G37" s="90">
        <v>1</v>
      </c>
      <c r="H37" s="90" t="s">
        <v>6518</v>
      </c>
      <c r="I37" s="90" t="s">
        <v>7468</v>
      </c>
      <c r="J37" s="90" t="s">
        <v>569</v>
      </c>
      <c r="K37" s="90">
        <v>2014</v>
      </c>
      <c r="L37" s="120" t="str">
        <f>HYPERLINK("http://services.igi-global.com/resolvedoi/resolve.aspx?doi=10.4018/978-1-46665-966-7")</f>
        <v>http://services.igi-global.com/resolvedoi/resolve.aspx?doi=10.4018/978-1-46665-966-7</v>
      </c>
    </row>
    <row r="38" spans="1:12">
      <c r="A38" s="90">
        <v>239</v>
      </c>
      <c r="B38" s="90" t="s">
        <v>571</v>
      </c>
      <c r="C38" s="90" t="s">
        <v>7467</v>
      </c>
      <c r="D38" s="90">
        <v>9781466672598</v>
      </c>
      <c r="E38" s="90">
        <v>9781466672581</v>
      </c>
      <c r="F38" s="90" t="s">
        <v>6548</v>
      </c>
      <c r="G38" s="90">
        <v>2</v>
      </c>
      <c r="H38" s="90" t="s">
        <v>6518</v>
      </c>
      <c r="I38" s="90" t="s">
        <v>865</v>
      </c>
      <c r="J38" s="90" t="s">
        <v>569</v>
      </c>
      <c r="K38" s="90">
        <v>2015</v>
      </c>
      <c r="L38" s="120" t="str">
        <f>HYPERLINK("http://services.igi-global.com/resolvedoi/resolve.aspx?doi=10.4018/978-1-46667-258-1")</f>
        <v>http://services.igi-global.com/resolvedoi/resolve.aspx?doi=10.4018/978-1-46667-258-1</v>
      </c>
    </row>
    <row r="39" spans="1:12">
      <c r="A39" s="90">
        <v>238</v>
      </c>
      <c r="B39" s="90" t="s">
        <v>571</v>
      </c>
      <c r="C39" s="90" t="s">
        <v>7467</v>
      </c>
      <c r="D39" s="90">
        <v>9781466684942</v>
      </c>
      <c r="E39" s="90">
        <v>9781466684935</v>
      </c>
      <c r="F39" s="90" t="s">
        <v>6556</v>
      </c>
      <c r="G39" s="90">
        <v>1</v>
      </c>
      <c r="H39" s="90" t="s">
        <v>6518</v>
      </c>
      <c r="I39" s="90" t="s">
        <v>6557</v>
      </c>
      <c r="J39" s="90" t="s">
        <v>569</v>
      </c>
      <c r="K39" s="90">
        <v>2015</v>
      </c>
      <c r="L39" s="120" t="str">
        <f>HYPERLINK("http://services.igi-global.com/resolvedoi/resolve.aspx?doi=10.4018/978-1-46668-493-5")</f>
        <v>http://services.igi-global.com/resolvedoi/resolve.aspx?doi=10.4018/978-1-46668-493-5</v>
      </c>
    </row>
    <row r="40" spans="1:12">
      <c r="A40" s="90">
        <v>237</v>
      </c>
      <c r="B40" s="90" t="s">
        <v>571</v>
      </c>
      <c r="C40" s="90" t="s">
        <v>7467</v>
      </c>
      <c r="D40" s="90">
        <v>9781466694750</v>
      </c>
      <c r="E40" s="90">
        <v>9781466694743</v>
      </c>
      <c r="F40" s="90" t="s">
        <v>6574</v>
      </c>
      <c r="G40" s="90">
        <v>1</v>
      </c>
      <c r="H40" s="90" t="s">
        <v>6518</v>
      </c>
      <c r="I40" s="90" t="s">
        <v>5648</v>
      </c>
      <c r="J40" s="90" t="s">
        <v>569</v>
      </c>
      <c r="K40" s="90">
        <v>2016</v>
      </c>
      <c r="L40" s="120" t="str">
        <f>HYPERLINK("http://services.igi-global.com/resolvedoi/resolve.aspx?doi=10.4018/978-1-46669-474-3")</f>
        <v>http://services.igi-global.com/resolvedoi/resolve.aspx?doi=10.4018/978-1-46669-474-3</v>
      </c>
    </row>
    <row r="41" spans="1:12">
      <c r="A41" s="90">
        <v>236</v>
      </c>
      <c r="B41" s="90" t="s">
        <v>571</v>
      </c>
      <c r="C41" s="90" t="s">
        <v>7467</v>
      </c>
      <c r="D41" s="90">
        <v>9781466696457</v>
      </c>
      <c r="E41" s="90">
        <v>9781466696440</v>
      </c>
      <c r="F41" s="90" t="s">
        <v>6577</v>
      </c>
      <c r="G41" s="90">
        <v>1</v>
      </c>
      <c r="H41" s="90" t="s">
        <v>6518</v>
      </c>
      <c r="I41" s="90" t="s">
        <v>865</v>
      </c>
      <c r="J41" s="90" t="s">
        <v>1233</v>
      </c>
      <c r="K41" s="90">
        <v>2016</v>
      </c>
      <c r="L41" s="120" t="str">
        <f>HYPERLINK("http://services.igi-global.com/resolvedoi/resolve.aspx?doi=10.4018/978-1-46669-644-0")</f>
        <v>http://services.igi-global.com/resolvedoi/resolve.aspx?doi=10.4018/978-1-46669-644-0</v>
      </c>
    </row>
    <row r="42" spans="1:12">
      <c r="A42" s="90">
        <v>293</v>
      </c>
      <c r="B42" s="90" t="s">
        <v>571</v>
      </c>
      <c r="C42" s="90" t="s">
        <v>7467</v>
      </c>
      <c r="D42" s="90">
        <v>9781522501060</v>
      </c>
      <c r="E42" s="90">
        <v>9781522501053</v>
      </c>
      <c r="F42" s="90" t="s">
        <v>6600</v>
      </c>
      <c r="G42" s="90">
        <v>1</v>
      </c>
      <c r="H42" s="90" t="s">
        <v>6518</v>
      </c>
      <c r="I42" s="90" t="s">
        <v>6601</v>
      </c>
      <c r="J42" s="90" t="s">
        <v>569</v>
      </c>
      <c r="K42" s="90">
        <v>2016</v>
      </c>
      <c r="L42" s="120" t="str">
        <f>HYPERLINK("http://services.igi-global.com/resolvedoi/resolve.aspx?doi=10.4018/978-1-52250-105-3")</f>
        <v>http://services.igi-global.com/resolvedoi/resolve.aspx?doi=10.4018/978-1-52250-105-3</v>
      </c>
    </row>
    <row r="43" spans="1:12">
      <c r="A43" s="90">
        <v>292</v>
      </c>
      <c r="B43" s="90" t="s">
        <v>571</v>
      </c>
      <c r="C43" s="90" t="s">
        <v>7467</v>
      </c>
      <c r="D43" s="90">
        <v>9781522504498</v>
      </c>
      <c r="E43" s="90">
        <v>9781522504481</v>
      </c>
      <c r="F43" s="90" t="s">
        <v>6624</v>
      </c>
      <c r="G43" s="90">
        <v>1</v>
      </c>
      <c r="H43" s="90" t="s">
        <v>6518</v>
      </c>
      <c r="I43" s="90" t="s">
        <v>6625</v>
      </c>
      <c r="J43" s="90" t="s">
        <v>569</v>
      </c>
      <c r="K43" s="90">
        <v>2016</v>
      </c>
      <c r="L43" s="120" t="str">
        <f>HYPERLINK("http://services.igi-global.com/resolvedoi/resolve.aspx?doi=10.4018/978-1-52250-448-1")</f>
        <v>http://services.igi-global.com/resolvedoi/resolve.aspx?doi=10.4018/978-1-52250-448-1</v>
      </c>
    </row>
    <row r="44" spans="1:12">
      <c r="A44" s="90">
        <v>291</v>
      </c>
      <c r="B44" s="90" t="s">
        <v>571</v>
      </c>
      <c r="C44" s="90" t="s">
        <v>7467</v>
      </c>
      <c r="D44" s="90">
        <v>9781522504641</v>
      </c>
      <c r="E44" s="90">
        <v>9781522504634</v>
      </c>
      <c r="F44" s="90" t="s">
        <v>6626</v>
      </c>
      <c r="G44" s="90">
        <v>1</v>
      </c>
      <c r="H44" s="90" t="s">
        <v>6518</v>
      </c>
      <c r="I44" s="90" t="s">
        <v>6627</v>
      </c>
      <c r="J44" s="90" t="s">
        <v>569</v>
      </c>
      <c r="K44" s="90">
        <v>2016</v>
      </c>
      <c r="L44" s="120" t="str">
        <f>HYPERLINK("http://services.igi-global.com/resolvedoi/resolve.aspx?doi=10.4018/978-1-52250-463-4")</f>
        <v>http://services.igi-global.com/resolvedoi/resolve.aspx?doi=10.4018/978-1-52250-463-4</v>
      </c>
    </row>
    <row r="45" spans="1:12">
      <c r="A45" s="90">
        <v>235</v>
      </c>
      <c r="B45" s="90" t="s">
        <v>571</v>
      </c>
      <c r="C45" s="90" t="s">
        <v>7467</v>
      </c>
      <c r="D45" s="90">
        <v>9781522505662</v>
      </c>
      <c r="E45" s="90">
        <v>9781522505655</v>
      </c>
      <c r="F45" s="90" t="s">
        <v>6635</v>
      </c>
      <c r="G45" s="90">
        <v>1</v>
      </c>
      <c r="H45" s="90" t="s">
        <v>6518</v>
      </c>
      <c r="I45" s="90" t="s">
        <v>6636</v>
      </c>
      <c r="J45" s="90" t="s">
        <v>569</v>
      </c>
      <c r="K45" s="90">
        <v>2017</v>
      </c>
      <c r="L45" s="120" t="str">
        <f>HYPERLINK("http://services.igi-global.com/resolvedoi/resolve.aspx?doi=10.4018/978-1-52250-565-5")</f>
        <v>http://services.igi-global.com/resolvedoi/resolve.aspx?doi=10.4018/978-1-52250-565-5</v>
      </c>
    </row>
    <row r="46" spans="1:12">
      <c r="A46" s="90">
        <v>290</v>
      </c>
      <c r="B46" s="90" t="s">
        <v>571</v>
      </c>
      <c r="C46" s="90" t="s">
        <v>7467</v>
      </c>
      <c r="D46" s="90">
        <v>9781522506034</v>
      </c>
      <c r="E46" s="90">
        <v>9781522506027</v>
      </c>
      <c r="F46" s="90" t="s">
        <v>6643</v>
      </c>
      <c r="G46" s="90">
        <v>1</v>
      </c>
      <c r="H46" s="90" t="s">
        <v>6518</v>
      </c>
      <c r="I46" s="90" t="s">
        <v>5661</v>
      </c>
      <c r="J46" s="90" t="s">
        <v>569</v>
      </c>
      <c r="K46" s="90">
        <v>2017</v>
      </c>
      <c r="L46" s="120" t="str">
        <f>HYPERLINK("http://services.igi-global.com/resolvedoi/resolve.aspx?doi=10.4018/978-1-52250-602-7")</f>
        <v>http://services.igi-global.com/resolvedoi/resolve.aspx?doi=10.4018/978-1-52250-602-7</v>
      </c>
    </row>
    <row r="47" spans="1:12">
      <c r="A47" s="90">
        <v>234</v>
      </c>
      <c r="B47" s="90" t="s">
        <v>571</v>
      </c>
      <c r="C47" s="90" t="s">
        <v>7467</v>
      </c>
      <c r="D47" s="90">
        <v>9781522506331</v>
      </c>
      <c r="E47" s="90">
        <v>9781522506324</v>
      </c>
      <c r="F47" s="90" t="s">
        <v>6648</v>
      </c>
      <c r="G47" s="90">
        <v>1</v>
      </c>
      <c r="H47" s="90" t="s">
        <v>6518</v>
      </c>
      <c r="I47" s="90" t="s">
        <v>6649</v>
      </c>
      <c r="J47" s="90" t="s">
        <v>569</v>
      </c>
      <c r="K47" s="90">
        <v>2017</v>
      </c>
      <c r="L47" s="120" t="str">
        <f>HYPERLINK("http://services.igi-global.com/resolvedoi/resolve.aspx?doi=10.4018/978-1-52250-632-4")</f>
        <v>http://services.igi-global.com/resolvedoi/resolve.aspx?doi=10.4018/978-1-52250-632-4</v>
      </c>
    </row>
    <row r="48" spans="1:12">
      <c r="A48" s="90">
        <v>287</v>
      </c>
      <c r="B48" s="90" t="s">
        <v>571</v>
      </c>
      <c r="C48" s="90" t="s">
        <v>7467</v>
      </c>
      <c r="D48" s="90">
        <v>9781522507048</v>
      </c>
      <c r="E48" s="90">
        <v>9781522507031</v>
      </c>
      <c r="F48" s="90" t="s">
        <v>6661</v>
      </c>
      <c r="G48" s="90">
        <v>1</v>
      </c>
      <c r="H48" s="90" t="s">
        <v>6518</v>
      </c>
      <c r="I48" s="90" t="s">
        <v>6662</v>
      </c>
      <c r="J48" s="90" t="s">
        <v>569</v>
      </c>
      <c r="K48" s="90">
        <v>2017</v>
      </c>
      <c r="L48" s="120" t="str">
        <f>HYPERLINK("http://services.igi-global.com/resolvedoi/resolve.aspx?doi=10.4018/978-1-52250-703-1")</f>
        <v>http://services.igi-global.com/resolvedoi/resolve.aspx?doi=10.4018/978-1-52250-703-1</v>
      </c>
    </row>
    <row r="49" spans="1:12">
      <c r="A49" s="90">
        <v>288</v>
      </c>
      <c r="B49" s="90" t="s">
        <v>571</v>
      </c>
      <c r="C49" s="90" t="s">
        <v>7467</v>
      </c>
      <c r="D49" s="90">
        <v>9781522507420</v>
      </c>
      <c r="E49" s="90">
        <v>9781522507413</v>
      </c>
      <c r="F49" s="90" t="s">
        <v>6669</v>
      </c>
      <c r="G49" s="90">
        <v>1</v>
      </c>
      <c r="H49" s="90" t="s">
        <v>6518</v>
      </c>
      <c r="I49" s="90" t="s">
        <v>6662</v>
      </c>
      <c r="J49" s="90" t="s">
        <v>569</v>
      </c>
      <c r="K49" s="90">
        <v>2017</v>
      </c>
      <c r="L49" s="120" t="str">
        <f>HYPERLINK("http://services.igi-global.com/resolvedoi/resolve.aspx?doi=10.4018/978-1-52250-741-3")</f>
        <v>http://services.igi-global.com/resolvedoi/resolve.aspx?doi=10.4018/978-1-52250-741-3</v>
      </c>
    </row>
    <row r="50" spans="1:12">
      <c r="A50" s="90">
        <v>231</v>
      </c>
      <c r="B50" s="90" t="s">
        <v>571</v>
      </c>
      <c r="C50" s="90" t="s">
        <v>7467</v>
      </c>
      <c r="D50" s="90">
        <v>9781522507604</v>
      </c>
      <c r="E50" s="90">
        <v>9781522507598</v>
      </c>
      <c r="F50" s="90" t="s">
        <v>6673</v>
      </c>
      <c r="G50" s="90">
        <v>1</v>
      </c>
      <c r="H50" s="90" t="s">
        <v>6518</v>
      </c>
      <c r="I50" s="90" t="s">
        <v>6674</v>
      </c>
      <c r="J50" s="90" t="s">
        <v>569</v>
      </c>
      <c r="K50" s="90">
        <v>2017</v>
      </c>
      <c r="L50" s="120" t="str">
        <f>HYPERLINK("http://services.igi-global.com/resolvedoi/resolve.aspx?doi=10.4018/978-1-52250-759-8")</f>
        <v>http://services.igi-global.com/resolvedoi/resolve.aspx?doi=10.4018/978-1-52250-759-8</v>
      </c>
    </row>
    <row r="51" spans="1:12">
      <c r="A51" s="90">
        <v>251</v>
      </c>
      <c r="B51" s="90" t="s">
        <v>571</v>
      </c>
      <c r="C51" s="90" t="s">
        <v>7467</v>
      </c>
      <c r="D51" s="90">
        <v>9781522508281</v>
      </c>
      <c r="E51" s="90">
        <v>9781522508274</v>
      </c>
      <c r="F51" s="90" t="s">
        <v>6679</v>
      </c>
      <c r="G51" s="90">
        <v>1</v>
      </c>
      <c r="H51" s="90" t="s">
        <v>6518</v>
      </c>
      <c r="I51" s="90" t="s">
        <v>6680</v>
      </c>
      <c r="J51" s="90" t="s">
        <v>1233</v>
      </c>
      <c r="K51" s="90">
        <v>2017</v>
      </c>
      <c r="L51" s="120" t="str">
        <f>HYPERLINK("http://services.igi-global.com/resolvedoi/resolve.aspx?doi=10.4018/978-1-52250-827-4")</f>
        <v>http://services.igi-global.com/resolvedoi/resolve.aspx?doi=10.4018/978-1-52250-827-4</v>
      </c>
    </row>
    <row r="52" spans="1:12">
      <c r="A52" s="90">
        <v>286</v>
      </c>
      <c r="B52" s="90" t="s">
        <v>571</v>
      </c>
      <c r="C52" s="90" t="s">
        <v>7467</v>
      </c>
      <c r="D52" s="90">
        <v>9781522508656</v>
      </c>
      <c r="E52" s="90">
        <v>9781522508649</v>
      </c>
      <c r="F52" s="90" t="s">
        <v>6683</v>
      </c>
      <c r="G52" s="90">
        <v>1</v>
      </c>
      <c r="H52" s="90" t="s">
        <v>6518</v>
      </c>
      <c r="I52" s="90" t="s">
        <v>6684</v>
      </c>
      <c r="J52" s="90" t="s">
        <v>569</v>
      </c>
      <c r="K52" s="90">
        <v>2017</v>
      </c>
      <c r="L52" s="120" t="str">
        <f>HYPERLINK("http://services.igi-global.com/resolvedoi/resolve.aspx?doi=10.4018/978-1-52250-864-9")</f>
        <v>http://services.igi-global.com/resolvedoi/resolve.aspx?doi=10.4018/978-1-52250-864-9</v>
      </c>
    </row>
    <row r="53" spans="1:12">
      <c r="A53" s="90">
        <v>232</v>
      </c>
      <c r="B53" s="90" t="s">
        <v>571</v>
      </c>
      <c r="C53" s="90" t="s">
        <v>7467</v>
      </c>
      <c r="D53" s="90">
        <v>9781522508908</v>
      </c>
      <c r="E53" s="90">
        <v>9781522508892</v>
      </c>
      <c r="F53" s="90" t="s">
        <v>6689</v>
      </c>
      <c r="G53" s="90">
        <v>1</v>
      </c>
      <c r="H53" s="90" t="s">
        <v>6518</v>
      </c>
      <c r="I53" s="90" t="s">
        <v>6690</v>
      </c>
      <c r="J53" s="90" t="s">
        <v>569</v>
      </c>
      <c r="K53" s="90">
        <v>2017</v>
      </c>
      <c r="L53" s="120" t="str">
        <f>HYPERLINK("http://services.igi-global.com/resolvedoi/resolve.aspx?doi=10.4018/978-1-52250-889-2")</f>
        <v>http://services.igi-global.com/resolvedoi/resolve.aspx?doi=10.4018/978-1-52250-889-2</v>
      </c>
    </row>
    <row r="54" spans="1:12">
      <c r="A54" s="90">
        <v>229</v>
      </c>
      <c r="B54" s="90" t="s">
        <v>571</v>
      </c>
      <c r="C54" s="90" t="s">
        <v>7467</v>
      </c>
      <c r="D54" s="90">
        <v>9781522509158</v>
      </c>
      <c r="E54" s="90">
        <v>9781522509141</v>
      </c>
      <c r="F54" s="90" t="s">
        <v>6696</v>
      </c>
      <c r="G54" s="90">
        <v>1</v>
      </c>
      <c r="H54" s="90" t="s">
        <v>6518</v>
      </c>
      <c r="I54" s="90" t="s">
        <v>6697</v>
      </c>
      <c r="J54" s="90" t="s">
        <v>569</v>
      </c>
      <c r="K54" s="90">
        <v>2017</v>
      </c>
      <c r="L54" s="120" t="str">
        <f>HYPERLINK("http://services.igi-global.com/resolvedoi/resolve.aspx?doi=10.4018/978-1-52250-914-1")</f>
        <v>http://services.igi-global.com/resolvedoi/resolve.aspx?doi=10.4018/978-1-52250-914-1</v>
      </c>
    </row>
    <row r="55" spans="1:12">
      <c r="A55" s="90">
        <v>289</v>
      </c>
      <c r="B55" s="90" t="s">
        <v>571</v>
      </c>
      <c r="C55" s="90" t="s">
        <v>7467</v>
      </c>
      <c r="D55" s="90">
        <v>9781522510178</v>
      </c>
      <c r="E55" s="90">
        <v>9781522510161</v>
      </c>
      <c r="F55" s="90" t="s">
        <v>6719</v>
      </c>
      <c r="G55" s="90">
        <v>1</v>
      </c>
      <c r="H55" s="90" t="s">
        <v>6518</v>
      </c>
      <c r="I55" s="90" t="s">
        <v>6720</v>
      </c>
      <c r="J55" s="90" t="s">
        <v>569</v>
      </c>
      <c r="K55" s="90">
        <v>2017</v>
      </c>
      <c r="L55" s="120" t="str">
        <f>HYPERLINK("http://services.igi-global.com/resolvedoi/resolve.aspx?doi=10.4018/978-1-52251-016-1")</f>
        <v>http://services.igi-global.com/resolvedoi/resolve.aspx?doi=10.4018/978-1-52251-016-1</v>
      </c>
    </row>
    <row r="56" spans="1:12">
      <c r="A56" s="90">
        <v>285</v>
      </c>
      <c r="B56" s="90" t="s">
        <v>571</v>
      </c>
      <c r="C56" s="90" t="s">
        <v>7467</v>
      </c>
      <c r="D56" s="90">
        <v>9781522510239</v>
      </c>
      <c r="E56" s="90">
        <v>9781522510222</v>
      </c>
      <c r="F56" s="90" t="s">
        <v>6721</v>
      </c>
      <c r="G56" s="90">
        <v>1</v>
      </c>
      <c r="H56" s="90" t="s">
        <v>6518</v>
      </c>
      <c r="I56" s="90" t="s">
        <v>6722</v>
      </c>
      <c r="J56" s="90" t="s">
        <v>569</v>
      </c>
      <c r="K56" s="90">
        <v>2017</v>
      </c>
      <c r="L56" s="120" t="str">
        <f>HYPERLINK("http://services.igi-global.com/resolvedoi/resolve.aspx?doi=10.4018/978-1-52251-022-2")</f>
        <v>http://services.igi-global.com/resolvedoi/resolve.aspx?doi=10.4018/978-1-52251-022-2</v>
      </c>
    </row>
    <row r="57" spans="1:12">
      <c r="A57" s="90">
        <v>233</v>
      </c>
      <c r="B57" s="90" t="s">
        <v>571</v>
      </c>
      <c r="C57" s="90" t="s">
        <v>7467</v>
      </c>
      <c r="D57" s="90">
        <v>9781522510352</v>
      </c>
      <c r="E57" s="90">
        <v>9781522510345</v>
      </c>
      <c r="F57" s="90" t="s">
        <v>6723</v>
      </c>
      <c r="G57" s="90">
        <v>1</v>
      </c>
      <c r="H57" s="90" t="s">
        <v>6518</v>
      </c>
      <c r="I57" s="90" t="s">
        <v>6724</v>
      </c>
      <c r="J57" s="90" t="s">
        <v>569</v>
      </c>
      <c r="K57" s="90">
        <v>2017</v>
      </c>
      <c r="L57" s="120" t="str">
        <f>HYPERLINK("http://services.igi-global.com/resolvedoi/resolve.aspx?doi=10.4018/978-1-52251-034-5")</f>
        <v>http://services.igi-global.com/resolvedoi/resolve.aspx?doi=10.4018/978-1-52251-034-5</v>
      </c>
    </row>
    <row r="58" spans="1:12">
      <c r="A58" s="90">
        <v>227</v>
      </c>
      <c r="B58" s="90" t="s">
        <v>571</v>
      </c>
      <c r="C58" s="90" t="s">
        <v>7467</v>
      </c>
      <c r="D58" s="90">
        <v>9781522516576</v>
      </c>
      <c r="E58" s="90">
        <v>9781522516569</v>
      </c>
      <c r="F58" s="90" t="s">
        <v>6738</v>
      </c>
      <c r="G58" s="90">
        <v>1</v>
      </c>
      <c r="H58" s="90" t="s">
        <v>6518</v>
      </c>
      <c r="I58" s="90" t="s">
        <v>6739</v>
      </c>
      <c r="J58" s="90" t="s">
        <v>568</v>
      </c>
      <c r="K58" s="90">
        <v>2017</v>
      </c>
      <c r="L58" s="120" t="str">
        <f>HYPERLINK("http://services.igi-global.com/resolvedoi/resolve.aspx?doi=10.4018/978-1-52251-656-9")</f>
        <v>http://services.igi-global.com/resolvedoi/resolve.aspx?doi=10.4018/978-1-52251-656-9</v>
      </c>
    </row>
    <row r="59" spans="1:12">
      <c r="A59" s="90">
        <v>280</v>
      </c>
      <c r="B59" s="90" t="s">
        <v>571</v>
      </c>
      <c r="C59" s="90" t="s">
        <v>7467</v>
      </c>
      <c r="D59" s="90">
        <v>9781522517047</v>
      </c>
      <c r="E59" s="90">
        <v>9781522517030</v>
      </c>
      <c r="F59" s="90" t="s">
        <v>6744</v>
      </c>
      <c r="G59" s="90">
        <v>1</v>
      </c>
      <c r="H59" s="90" t="s">
        <v>6518</v>
      </c>
      <c r="I59" s="90" t="s">
        <v>6745</v>
      </c>
      <c r="J59" s="90" t="s">
        <v>569</v>
      </c>
      <c r="K59" s="90">
        <v>2017</v>
      </c>
      <c r="L59" s="120" t="str">
        <f>HYPERLINK("http://services.igi-global.com/resolvedoi/resolve.aspx?doi=10.4018/978-1-52251-703-0")</f>
        <v>http://services.igi-global.com/resolvedoi/resolve.aspx?doi=10.4018/978-1-52251-703-0</v>
      </c>
    </row>
    <row r="60" spans="1:12">
      <c r="A60" s="90">
        <v>230</v>
      </c>
      <c r="B60" s="90" t="s">
        <v>571</v>
      </c>
      <c r="C60" s="90" t="s">
        <v>7467</v>
      </c>
      <c r="D60" s="90">
        <v>9781522517221</v>
      </c>
      <c r="E60" s="90">
        <v>9781522517214</v>
      </c>
      <c r="F60" s="90" t="s">
        <v>6749</v>
      </c>
      <c r="G60" s="90">
        <v>1</v>
      </c>
      <c r="H60" s="90" t="s">
        <v>6518</v>
      </c>
      <c r="I60" s="90" t="s">
        <v>6750</v>
      </c>
      <c r="J60" s="90" t="s">
        <v>569</v>
      </c>
      <c r="K60" s="90">
        <v>2017</v>
      </c>
      <c r="L60" s="120" t="str">
        <f>HYPERLINK("http://services.igi-global.com/resolvedoi/resolve.aspx?doi=10.4018/978-1-52251-721-4")</f>
        <v>http://services.igi-global.com/resolvedoi/resolve.aspx?doi=10.4018/978-1-52251-721-4</v>
      </c>
    </row>
    <row r="61" spans="1:12">
      <c r="A61" s="90">
        <v>228</v>
      </c>
      <c r="B61" s="90" t="s">
        <v>571</v>
      </c>
      <c r="C61" s="90" t="s">
        <v>7467</v>
      </c>
      <c r="D61" s="90">
        <v>9781522517603</v>
      </c>
      <c r="E61" s="90">
        <v>9781522517597</v>
      </c>
      <c r="F61" s="90" t="s">
        <v>6759</v>
      </c>
      <c r="G61" s="90">
        <v>4</v>
      </c>
      <c r="H61" s="90" t="s">
        <v>6518</v>
      </c>
      <c r="I61" s="90" t="s">
        <v>3446</v>
      </c>
      <c r="J61" s="90" t="s">
        <v>569</v>
      </c>
      <c r="K61" s="90">
        <v>2017</v>
      </c>
      <c r="L61" s="120" t="str">
        <f>HYPERLINK("http://services.igi-global.com/resolvedoi/resolve.aspx?doi=10.4018/978-1-52251-759-7")</f>
        <v>http://services.igi-global.com/resolvedoi/resolve.aspx?doi=10.4018/978-1-52251-759-7</v>
      </c>
    </row>
    <row r="62" spans="1:12">
      <c r="A62" s="90">
        <v>281</v>
      </c>
      <c r="B62" s="90" t="s">
        <v>571</v>
      </c>
      <c r="C62" s="90" t="s">
        <v>7467</v>
      </c>
      <c r="D62" s="90">
        <v>9781522518303</v>
      </c>
      <c r="E62" s="90">
        <v>9781522518297</v>
      </c>
      <c r="F62" s="90" t="s">
        <v>6767</v>
      </c>
      <c r="G62" s="90">
        <v>1</v>
      </c>
      <c r="H62" s="90" t="s">
        <v>6518</v>
      </c>
      <c r="I62" s="90" t="s">
        <v>6768</v>
      </c>
      <c r="J62" s="90" t="s">
        <v>569</v>
      </c>
      <c r="K62" s="90">
        <v>2017</v>
      </c>
      <c r="L62" s="120" t="str">
        <f>HYPERLINK("http://services.igi-global.com/resolvedoi/resolve.aspx?doi=10.4018/978-1-52251-829-7")</f>
        <v>http://services.igi-global.com/resolvedoi/resolve.aspx?doi=10.4018/978-1-52251-829-7</v>
      </c>
    </row>
    <row r="63" spans="1:12">
      <c r="A63" s="90">
        <v>223</v>
      </c>
      <c r="B63" s="90" t="s">
        <v>571</v>
      </c>
      <c r="C63" s="90" t="s">
        <v>7467</v>
      </c>
      <c r="D63" s="90">
        <v>9781522518389</v>
      </c>
      <c r="E63" s="90">
        <v>9781522518372</v>
      </c>
      <c r="F63" s="90" t="s">
        <v>6770</v>
      </c>
      <c r="G63" s="90">
        <v>4</v>
      </c>
      <c r="H63" s="90" t="s">
        <v>6518</v>
      </c>
      <c r="I63" s="90" t="s">
        <v>3446</v>
      </c>
      <c r="J63" s="90" t="s">
        <v>569</v>
      </c>
      <c r="K63" s="90">
        <v>2017</v>
      </c>
      <c r="L63" s="120" t="str">
        <f>HYPERLINK("http://services.igi-global.com/resolvedoi/resolve.aspx?doi=10.4018/978-1-52251-837-2")</f>
        <v>http://services.igi-global.com/resolvedoi/resolve.aspx?doi=10.4018/978-1-52251-837-2</v>
      </c>
    </row>
    <row r="64" spans="1:12">
      <c r="A64" s="90">
        <v>224</v>
      </c>
      <c r="B64" s="90" t="s">
        <v>571</v>
      </c>
      <c r="C64" s="90" t="s">
        <v>7467</v>
      </c>
      <c r="D64" s="90">
        <v>9781522518495</v>
      </c>
      <c r="E64" s="90">
        <v>9781522518488</v>
      </c>
      <c r="F64" s="90" t="s">
        <v>6771</v>
      </c>
      <c r="G64" s="90">
        <v>1</v>
      </c>
      <c r="H64" s="90" t="s">
        <v>6518</v>
      </c>
      <c r="I64" s="90" t="s">
        <v>6772</v>
      </c>
      <c r="J64" s="90" t="s">
        <v>569</v>
      </c>
      <c r="K64" s="90">
        <v>2017</v>
      </c>
      <c r="L64" s="120" t="str">
        <f>HYPERLINK("http://services.igi-global.com/resolvedoi/resolve.aspx?doi=10.4018/978-1-52251-848-8")</f>
        <v>http://services.igi-global.com/resolvedoi/resolve.aspx?doi=10.4018/978-1-52251-848-8</v>
      </c>
    </row>
    <row r="65" spans="1:12">
      <c r="A65" s="90">
        <v>282</v>
      </c>
      <c r="B65" s="90" t="s">
        <v>571</v>
      </c>
      <c r="C65" s="90" t="s">
        <v>7467</v>
      </c>
      <c r="D65" s="90">
        <v>9781522519393</v>
      </c>
      <c r="E65" s="90">
        <v>9781522519386</v>
      </c>
      <c r="F65" s="90" t="s">
        <v>6783</v>
      </c>
      <c r="G65" s="90">
        <v>1</v>
      </c>
      <c r="H65" s="90" t="s">
        <v>6518</v>
      </c>
      <c r="I65" s="90" t="s">
        <v>6784</v>
      </c>
      <c r="J65" s="90" t="s">
        <v>569</v>
      </c>
      <c r="K65" s="90">
        <v>2017</v>
      </c>
      <c r="L65" s="120" t="str">
        <f>HYPERLINK("http://services.igi-global.com/resolvedoi/resolve.aspx?doi=10.4018/978-1-52251-938-6")</f>
        <v>http://services.igi-global.com/resolvedoi/resolve.aspx?doi=10.4018/978-1-52251-938-6</v>
      </c>
    </row>
    <row r="66" spans="1:12">
      <c r="A66" s="90">
        <v>283</v>
      </c>
      <c r="B66" s="90" t="s">
        <v>571</v>
      </c>
      <c r="C66" s="90" t="s">
        <v>7467</v>
      </c>
      <c r="D66" s="90">
        <v>9781522519423</v>
      </c>
      <c r="E66" s="90">
        <v>9781522519416</v>
      </c>
      <c r="F66" s="90" t="s">
        <v>6785</v>
      </c>
      <c r="G66" s="90">
        <v>1</v>
      </c>
      <c r="H66" s="90" t="s">
        <v>6518</v>
      </c>
      <c r="I66" s="90" t="s">
        <v>6786</v>
      </c>
      <c r="J66" s="90" t="s">
        <v>569</v>
      </c>
      <c r="K66" s="90">
        <v>2017</v>
      </c>
      <c r="L66" s="120" t="str">
        <f>HYPERLINK("http://services.igi-global.com/resolvedoi/resolve.aspx?doi=10.4018/978-1-52251-941-6")</f>
        <v>http://services.igi-global.com/resolvedoi/resolve.aspx?doi=10.4018/978-1-52251-941-6</v>
      </c>
    </row>
    <row r="67" spans="1:12">
      <c r="A67" s="90">
        <v>225</v>
      </c>
      <c r="B67" s="90" t="s">
        <v>571</v>
      </c>
      <c r="C67" s="90" t="s">
        <v>7467</v>
      </c>
      <c r="D67" s="90">
        <v>9781522519454</v>
      </c>
      <c r="E67" s="90">
        <v>9781522519447</v>
      </c>
      <c r="F67" s="90" t="s">
        <v>6787</v>
      </c>
      <c r="G67" s="90">
        <v>1</v>
      </c>
      <c r="H67" s="90" t="s">
        <v>6518</v>
      </c>
      <c r="I67" s="90" t="s">
        <v>2573</v>
      </c>
      <c r="J67" s="90" t="s">
        <v>569</v>
      </c>
      <c r="K67" s="90">
        <v>2017</v>
      </c>
      <c r="L67" s="120" t="str">
        <f>HYPERLINK("http://services.igi-global.com/resolvedoi/resolve.aspx?doi=10.4018/978-1-52251-944-7")</f>
        <v>http://services.igi-global.com/resolvedoi/resolve.aspx?doi=10.4018/978-1-52251-944-7</v>
      </c>
    </row>
    <row r="68" spans="1:12">
      <c r="A68" s="90">
        <v>226</v>
      </c>
      <c r="B68" s="90" t="s">
        <v>571</v>
      </c>
      <c r="C68" s="90" t="s">
        <v>7467</v>
      </c>
      <c r="D68" s="90">
        <v>9781522519485</v>
      </c>
      <c r="E68" s="90">
        <v>9781522519478</v>
      </c>
      <c r="F68" s="90" t="s">
        <v>6788</v>
      </c>
      <c r="G68" s="90">
        <v>1</v>
      </c>
      <c r="H68" s="90" t="s">
        <v>6518</v>
      </c>
      <c r="I68" s="90" t="s">
        <v>1419</v>
      </c>
      <c r="J68" s="90" t="s">
        <v>569</v>
      </c>
      <c r="K68" s="90">
        <v>2017</v>
      </c>
      <c r="L68" s="120" t="str">
        <f>HYPERLINK("http://services.igi-global.com/resolvedoi/resolve.aspx?doi=10.4018/978-1-52251-947-8")</f>
        <v>http://services.igi-global.com/resolvedoi/resolve.aspx?doi=10.4018/978-1-52251-947-8</v>
      </c>
    </row>
    <row r="69" spans="1:12">
      <c r="A69" s="90">
        <v>221</v>
      </c>
      <c r="B69" s="90" t="s">
        <v>571</v>
      </c>
      <c r="C69" s="90" t="s">
        <v>7467</v>
      </c>
      <c r="D69" s="90">
        <v>9781522520146</v>
      </c>
      <c r="E69" s="90">
        <v>9781522520139</v>
      </c>
      <c r="F69" s="90" t="s">
        <v>6799</v>
      </c>
      <c r="G69" s="90">
        <v>1</v>
      </c>
      <c r="H69" s="90" t="s">
        <v>6518</v>
      </c>
      <c r="I69" s="90" t="s">
        <v>6227</v>
      </c>
      <c r="J69" s="90" t="s">
        <v>569</v>
      </c>
      <c r="K69" s="90">
        <v>2017</v>
      </c>
      <c r="L69" s="120" t="str">
        <f>HYPERLINK("http://services.igi-global.com/resolvedoi/resolve.aspx?doi=10.4018/978-1-52252-013-9")</f>
        <v>http://services.igi-global.com/resolvedoi/resolve.aspx?doi=10.4018/978-1-52252-013-9</v>
      </c>
    </row>
    <row r="70" spans="1:12">
      <c r="A70" s="90">
        <v>217</v>
      </c>
      <c r="B70" s="90" t="s">
        <v>571</v>
      </c>
      <c r="C70" s="90" t="s">
        <v>7467</v>
      </c>
      <c r="D70" s="90">
        <v>9781522521297</v>
      </c>
      <c r="E70" s="90">
        <v>9781522521280</v>
      </c>
      <c r="F70" s="90" t="s">
        <v>6824</v>
      </c>
      <c r="G70" s="90">
        <v>1</v>
      </c>
      <c r="H70" s="90" t="s">
        <v>6518</v>
      </c>
      <c r="I70" s="90" t="s">
        <v>6825</v>
      </c>
      <c r="J70" s="90" t="s">
        <v>569</v>
      </c>
      <c r="K70" s="90">
        <v>2017</v>
      </c>
      <c r="L70" s="120" t="str">
        <f>HYPERLINK("http://services.igi-global.com/resolvedoi/resolve.aspx?doi=10.4018/978-1-52252-128-0")</f>
        <v>http://services.igi-global.com/resolvedoi/resolve.aspx?doi=10.4018/978-1-52252-128-0</v>
      </c>
    </row>
    <row r="71" spans="1:12">
      <c r="A71" s="90">
        <v>218</v>
      </c>
      <c r="B71" s="90" t="s">
        <v>571</v>
      </c>
      <c r="C71" s="90" t="s">
        <v>7467</v>
      </c>
      <c r="D71" s="90">
        <v>9781522521778</v>
      </c>
      <c r="E71" s="90">
        <v>9781522521761</v>
      </c>
      <c r="F71" s="90" t="s">
        <v>6827</v>
      </c>
      <c r="G71" s="90">
        <v>1</v>
      </c>
      <c r="H71" s="90" t="s">
        <v>6518</v>
      </c>
      <c r="I71" s="90" t="s">
        <v>6828</v>
      </c>
      <c r="J71" s="90" t="s">
        <v>569</v>
      </c>
      <c r="K71" s="90">
        <v>2018</v>
      </c>
      <c r="L71" s="120" t="str">
        <f>HYPERLINK("http://services.igi-global.com/resolvedoi/resolve.aspx?doi=10.4018/978-1-52252-176-1")</f>
        <v>http://services.igi-global.com/resolvedoi/resolve.aspx?doi=10.4018/978-1-52252-176-1</v>
      </c>
    </row>
    <row r="72" spans="1:12">
      <c r="A72" s="90">
        <v>279</v>
      </c>
      <c r="B72" s="90" t="s">
        <v>571</v>
      </c>
      <c r="C72" s="90" t="s">
        <v>7467</v>
      </c>
      <c r="D72" s="90">
        <v>9781522521914</v>
      </c>
      <c r="E72" s="90">
        <v>9781522521907</v>
      </c>
      <c r="F72" s="90" t="s">
        <v>6830</v>
      </c>
      <c r="G72" s="90">
        <v>1</v>
      </c>
      <c r="H72" s="90" t="s">
        <v>6518</v>
      </c>
      <c r="I72" s="90" t="s">
        <v>6831</v>
      </c>
      <c r="J72" s="90" t="s">
        <v>569</v>
      </c>
      <c r="K72" s="90">
        <v>2017</v>
      </c>
      <c r="L72" s="120" t="str">
        <f>HYPERLINK("http://services.igi-global.com/resolvedoi/resolve.aspx?doi=10.4018/978-1-52252-190-7")</f>
        <v>http://services.igi-global.com/resolvedoi/resolve.aspx?doi=10.4018/978-1-52252-190-7</v>
      </c>
    </row>
    <row r="73" spans="1:12">
      <c r="A73" s="90">
        <v>219</v>
      </c>
      <c r="B73" s="90" t="s">
        <v>571</v>
      </c>
      <c r="C73" s="90" t="s">
        <v>7467</v>
      </c>
      <c r="D73" s="90">
        <v>9781522521945</v>
      </c>
      <c r="E73" s="90">
        <v>9781522521938</v>
      </c>
      <c r="F73" s="90" t="s">
        <v>7469</v>
      </c>
      <c r="G73" s="90">
        <v>1</v>
      </c>
      <c r="H73" s="90" t="s">
        <v>6518</v>
      </c>
      <c r="I73" s="90" t="s">
        <v>6832</v>
      </c>
      <c r="J73" s="90" t="s">
        <v>569</v>
      </c>
      <c r="K73" s="90">
        <v>2017</v>
      </c>
      <c r="L73" s="120" t="str">
        <f>HYPERLINK("http://services.igi-global.com/resolvedoi/resolve.aspx?doi=10.4018/978-1-52252-193-8")</f>
        <v>http://services.igi-global.com/resolvedoi/resolve.aspx?doi=10.4018/978-1-52252-193-8</v>
      </c>
    </row>
    <row r="74" spans="1:12">
      <c r="A74" s="90">
        <v>216</v>
      </c>
      <c r="B74" s="90" t="s">
        <v>571</v>
      </c>
      <c r="C74" s="90" t="s">
        <v>7467</v>
      </c>
      <c r="D74" s="90">
        <v>9781522522300</v>
      </c>
      <c r="E74" s="90">
        <v>9781522522294</v>
      </c>
      <c r="F74" s="90" t="s">
        <v>6839</v>
      </c>
      <c r="G74" s="90">
        <v>2</v>
      </c>
      <c r="H74" s="90" t="s">
        <v>6518</v>
      </c>
      <c r="I74" s="90" t="s">
        <v>4513</v>
      </c>
      <c r="J74" s="90" t="s">
        <v>569</v>
      </c>
      <c r="K74" s="90">
        <v>2017</v>
      </c>
      <c r="L74" s="120" t="str">
        <f>HYPERLINK("http://services.igi-global.com/resolvedoi/resolve.aspx?doi=10.4018/978-1-52252-229-4")</f>
        <v>http://services.igi-global.com/resolvedoi/resolve.aspx?doi=10.4018/978-1-52252-229-4</v>
      </c>
    </row>
    <row r="75" spans="1:12">
      <c r="A75" s="90">
        <v>245</v>
      </c>
      <c r="B75" s="90" t="s">
        <v>571</v>
      </c>
      <c r="C75" s="90" t="s">
        <v>7467</v>
      </c>
      <c r="D75" s="90">
        <v>9781613501429</v>
      </c>
      <c r="E75" s="90">
        <v>9781613501412</v>
      </c>
      <c r="F75" s="90" t="s">
        <v>6843</v>
      </c>
      <c r="G75" s="90">
        <v>1</v>
      </c>
      <c r="H75" s="90" t="s">
        <v>6518</v>
      </c>
      <c r="I75" s="90" t="s">
        <v>6844</v>
      </c>
      <c r="J75" s="90" t="s">
        <v>569</v>
      </c>
      <c r="K75" s="90">
        <v>2012</v>
      </c>
      <c r="L75" s="120" t="str">
        <f>HYPERLINK("http://services.igi-global.com/resolvedoi/resolve.aspx?doi=10.4018/978-1-61350-141-2")</f>
        <v>http://services.igi-global.com/resolvedoi/resolve.aspx?doi=10.4018/978-1-61350-141-2</v>
      </c>
    </row>
    <row r="76" spans="1:12">
      <c r="A76" s="90">
        <v>222</v>
      </c>
      <c r="B76" s="90" t="s">
        <v>571</v>
      </c>
      <c r="C76" s="90" t="s">
        <v>7467</v>
      </c>
      <c r="D76" s="90">
        <v>9781683180012</v>
      </c>
      <c r="E76" s="90">
        <v>9781683180005</v>
      </c>
      <c r="F76" s="90" t="s">
        <v>6845</v>
      </c>
      <c r="G76" s="90">
        <v>1</v>
      </c>
      <c r="H76" s="90" t="s">
        <v>6518</v>
      </c>
      <c r="I76" s="90" t="s">
        <v>6846</v>
      </c>
      <c r="J76" s="90" t="s">
        <v>569</v>
      </c>
      <c r="K76" s="90">
        <v>2017</v>
      </c>
      <c r="L76" s="120" t="str">
        <f>HYPERLINK("http://services.igi-global.com/resolvedoi/resolve.aspx?doi=10.4018/978-1-68318-000-5")</f>
        <v>http://services.igi-global.com/resolvedoi/resolve.aspx?doi=10.4018/978-1-68318-000-5</v>
      </c>
    </row>
    <row r="77" spans="1:12">
      <c r="A77" s="90">
        <v>284</v>
      </c>
      <c r="B77" s="90" t="s">
        <v>571</v>
      </c>
      <c r="C77" s="90" t="s">
        <v>7467</v>
      </c>
      <c r="D77" s="90">
        <v>9781683180142</v>
      </c>
      <c r="E77" s="90">
        <v>9781683180135</v>
      </c>
      <c r="F77" s="90" t="s">
        <v>6849</v>
      </c>
      <c r="G77" s="90">
        <v>1</v>
      </c>
      <c r="H77" s="90" t="s">
        <v>6518</v>
      </c>
      <c r="I77" s="90" t="s">
        <v>6850</v>
      </c>
      <c r="J77" s="90" t="s">
        <v>569</v>
      </c>
      <c r="K77" s="90">
        <v>2017</v>
      </c>
      <c r="L77" s="120" t="str">
        <f>HYPERLINK("http://services.igi-global.com/resolvedoi/resolve.aspx?doi=10.4018/978-1-68318-013-5")</f>
        <v>http://services.igi-global.com/resolvedoi/resolve.aspx?doi=10.4018/978-1-68318-013-5</v>
      </c>
    </row>
    <row r="78" spans="1:12">
      <c r="A78" s="90">
        <v>220</v>
      </c>
      <c r="B78" s="90" t="s">
        <v>571</v>
      </c>
      <c r="C78" s="90" t="s">
        <v>7467</v>
      </c>
      <c r="D78" s="90">
        <v>9781522519898</v>
      </c>
      <c r="E78" s="90">
        <v>9781683180166</v>
      </c>
      <c r="F78" s="90" t="s">
        <v>7470</v>
      </c>
      <c r="G78" s="90">
        <v>1</v>
      </c>
      <c r="H78" s="90" t="s">
        <v>6518</v>
      </c>
      <c r="I78" s="90" t="s">
        <v>6851</v>
      </c>
      <c r="J78" s="90" t="s">
        <v>569</v>
      </c>
      <c r="K78" s="90">
        <v>2017</v>
      </c>
      <c r="L78" s="120" t="str">
        <f>HYPERLINK("http://services.igi-global.com/resolvedoi/resolve.aspx?doi=10.4018/978-1-68318-016-6")</f>
        <v>http://services.igi-global.com/resolvedoi/resolve.aspx?doi=10.4018/978-1-68318-016-6</v>
      </c>
    </row>
    <row r="79" spans="1:12">
      <c r="A79" s="90">
        <v>264</v>
      </c>
      <c r="B79" s="90" t="s">
        <v>571</v>
      </c>
      <c r="C79" s="90" t="s">
        <v>7471</v>
      </c>
      <c r="D79" s="90">
        <v>9781466665064</v>
      </c>
      <c r="E79" s="90">
        <v>9781466665057</v>
      </c>
      <c r="F79" s="90" t="s">
        <v>6546</v>
      </c>
      <c r="G79" s="90">
        <v>1</v>
      </c>
      <c r="H79" s="90" t="s">
        <v>6518</v>
      </c>
      <c r="I79" s="90" t="s">
        <v>6547</v>
      </c>
      <c r="J79" s="90" t="s">
        <v>1233</v>
      </c>
      <c r="K79" s="90">
        <v>2015</v>
      </c>
      <c r="L79" s="120" t="str">
        <f>HYPERLINK("http://services.igi-global.com/resolvedoi/resolve.aspx?doi=10.4018/978-1-46666-505-7")</f>
        <v>http://services.igi-global.com/resolvedoi/resolve.aspx?doi=10.4018/978-1-46666-505-7</v>
      </c>
    </row>
    <row r="80" spans="1:12">
      <c r="A80" s="90">
        <v>261</v>
      </c>
      <c r="B80" s="90" t="s">
        <v>571</v>
      </c>
      <c r="C80" s="90" t="s">
        <v>7471</v>
      </c>
      <c r="D80" s="90">
        <v>9781466684911</v>
      </c>
      <c r="E80" s="90">
        <v>9781466684904</v>
      </c>
      <c r="F80" s="90" t="s">
        <v>6555</v>
      </c>
      <c r="G80" s="90">
        <v>1</v>
      </c>
      <c r="H80" s="90" t="s">
        <v>6518</v>
      </c>
      <c r="I80" s="90" t="s">
        <v>7472</v>
      </c>
      <c r="J80" s="90" t="s">
        <v>1233</v>
      </c>
      <c r="K80" s="90">
        <v>2015</v>
      </c>
      <c r="L80" s="120" t="str">
        <f>HYPERLINK("http://services.igi-global.com/resolvedoi/resolve.aspx?doi=10.4018/978-1-46668-490-4")</f>
        <v>http://services.igi-global.com/resolvedoi/resolve.aspx?doi=10.4018/978-1-46668-490-4</v>
      </c>
    </row>
    <row r="81" spans="1:12">
      <c r="A81" s="90">
        <v>260</v>
      </c>
      <c r="B81" s="90" t="s">
        <v>571</v>
      </c>
      <c r="C81" s="90" t="s">
        <v>7471</v>
      </c>
      <c r="D81" s="90">
        <v>9781522502326</v>
      </c>
      <c r="E81" s="90">
        <v>9781522502319</v>
      </c>
      <c r="F81" s="90" t="s">
        <v>6606</v>
      </c>
      <c r="G81" s="90">
        <v>1</v>
      </c>
      <c r="H81" s="90" t="s">
        <v>6518</v>
      </c>
      <c r="I81" s="90" t="s">
        <v>6607</v>
      </c>
      <c r="J81" s="90" t="s">
        <v>1233</v>
      </c>
      <c r="K81" s="90">
        <v>2016</v>
      </c>
      <c r="L81" s="120" t="str">
        <f>HYPERLINK("http://services.igi-global.com/resolvedoi/resolve.aspx?doi=10.4018/978-1-52250-231-9")</f>
        <v>http://services.igi-global.com/resolvedoi/resolve.aspx?doi=10.4018/978-1-52250-231-9</v>
      </c>
    </row>
    <row r="82" spans="1:12">
      <c r="A82" s="90">
        <v>258</v>
      </c>
      <c r="B82" s="90" t="s">
        <v>571</v>
      </c>
      <c r="C82" s="90" t="s">
        <v>7471</v>
      </c>
      <c r="D82" s="90">
        <v>9781522503453</v>
      </c>
      <c r="E82" s="90">
        <v>9781522503446</v>
      </c>
      <c r="F82" s="90" t="s">
        <v>6620</v>
      </c>
      <c r="G82" s="90">
        <v>1</v>
      </c>
      <c r="H82" s="90" t="s">
        <v>6518</v>
      </c>
      <c r="I82" s="90" t="s">
        <v>6621</v>
      </c>
      <c r="J82" s="90" t="s">
        <v>1233</v>
      </c>
      <c r="K82" s="90">
        <v>2016</v>
      </c>
      <c r="L82" s="120" t="str">
        <f>HYPERLINK("http://services.igi-global.com/resolvedoi/resolve.aspx?doi=10.4018/978-1-52250-344-6")</f>
        <v>http://services.igi-global.com/resolvedoi/resolve.aspx?doi=10.4018/978-1-52250-344-6</v>
      </c>
    </row>
    <row r="83" spans="1:12">
      <c r="A83" s="90">
        <v>254</v>
      </c>
      <c r="B83" s="90" t="s">
        <v>571</v>
      </c>
      <c r="C83" s="90" t="s">
        <v>7471</v>
      </c>
      <c r="D83" s="90">
        <v>9781522505891</v>
      </c>
      <c r="E83" s="90">
        <v>9781522505884</v>
      </c>
      <c r="F83" s="90" t="s">
        <v>6639</v>
      </c>
      <c r="G83" s="90">
        <v>1</v>
      </c>
      <c r="H83" s="90" t="s">
        <v>6518</v>
      </c>
      <c r="I83" s="90" t="s">
        <v>6640</v>
      </c>
      <c r="J83" s="90" t="s">
        <v>1233</v>
      </c>
      <c r="K83" s="90">
        <v>2017</v>
      </c>
      <c r="L83" s="120" t="str">
        <f>HYPERLINK("http://services.igi-global.com/resolvedoi/resolve.aspx?doi=10.4018/978-1-52250-588-4")</f>
        <v>http://services.igi-global.com/resolvedoi/resolve.aspx?doi=10.4018/978-1-52250-588-4</v>
      </c>
    </row>
    <row r="84" spans="1:12">
      <c r="A84" s="90">
        <v>246</v>
      </c>
      <c r="B84" s="90" t="s">
        <v>571</v>
      </c>
      <c r="C84" s="90" t="s">
        <v>7471</v>
      </c>
      <c r="D84" s="90">
        <v>9781522520900</v>
      </c>
      <c r="E84" s="90">
        <v>9781522520894</v>
      </c>
      <c r="F84" s="90" t="s">
        <v>6817</v>
      </c>
      <c r="G84" s="90">
        <v>1</v>
      </c>
      <c r="H84" s="90" t="s">
        <v>6518</v>
      </c>
      <c r="I84" s="90" t="s">
        <v>1497</v>
      </c>
      <c r="J84" s="90" t="s">
        <v>1233</v>
      </c>
      <c r="K84" s="90">
        <v>2017</v>
      </c>
      <c r="L84" s="120" t="str">
        <f>HYPERLINK("http://services.igi-global.com/resolvedoi/resolve.aspx?doi=10.4018/978-1-52252-089-4")</f>
        <v>http://services.igi-global.com/resolvedoi/resolve.aspx?doi=10.4018/978-1-52252-089-4</v>
      </c>
    </row>
    <row r="85" spans="1:12">
      <c r="A85" s="90">
        <v>247</v>
      </c>
      <c r="B85" s="90" t="s">
        <v>571</v>
      </c>
      <c r="C85" s="90" t="s">
        <v>7471</v>
      </c>
      <c r="D85" s="90">
        <v>9781522522003</v>
      </c>
      <c r="E85" s="90">
        <v>9781522521990</v>
      </c>
      <c r="F85" s="90" t="s">
        <v>6833</v>
      </c>
      <c r="G85" s="90">
        <v>1</v>
      </c>
      <c r="H85" s="90" t="s">
        <v>6518</v>
      </c>
      <c r="I85" s="90" t="s">
        <v>6834</v>
      </c>
      <c r="J85" s="90" t="s">
        <v>1233</v>
      </c>
      <c r="K85" s="90">
        <v>2017</v>
      </c>
      <c r="L85" s="120" t="str">
        <f>HYPERLINK("http://services.igi-global.com/resolvedoi/resolve.aspx?doi=10.4018/978-1-52252-199-0")</f>
        <v>http://services.igi-global.com/resolvedoi/resolve.aspx?doi=10.4018/978-1-52252-199-0</v>
      </c>
    </row>
    <row r="86" spans="1:12">
      <c r="A86" s="90">
        <v>263</v>
      </c>
      <c r="B86" s="90" t="s">
        <v>571</v>
      </c>
      <c r="C86" s="90" t="s">
        <v>7473</v>
      </c>
      <c r="D86" s="90">
        <v>9781466684744</v>
      </c>
      <c r="E86" s="90">
        <v>9781466684737</v>
      </c>
      <c r="F86" s="90" t="s">
        <v>6554</v>
      </c>
      <c r="G86" s="90">
        <v>3</v>
      </c>
      <c r="H86" s="90" t="s">
        <v>6518</v>
      </c>
      <c r="I86" s="90" t="s">
        <v>3446</v>
      </c>
      <c r="J86" s="90" t="s">
        <v>1233</v>
      </c>
      <c r="K86" s="90">
        <v>2015</v>
      </c>
      <c r="L86" s="120" t="str">
        <f>HYPERLINK("http://services.igi-global.com/resolvedoi/resolve.aspx?doi=10.4018/978-1-46668-473-7")</f>
        <v>http://services.igi-global.com/resolvedoi/resolve.aspx?doi=10.4018/978-1-46668-473-7</v>
      </c>
    </row>
    <row r="87" spans="1:12">
      <c r="A87" s="90">
        <v>262</v>
      </c>
      <c r="B87" s="90" t="s">
        <v>571</v>
      </c>
      <c r="C87" s="90" t="s">
        <v>7473</v>
      </c>
      <c r="D87" s="90">
        <v>9781466687127</v>
      </c>
      <c r="E87" s="90">
        <v>9781466687110</v>
      </c>
      <c r="F87" s="90" t="s">
        <v>6566</v>
      </c>
      <c r="G87" s="90">
        <v>1</v>
      </c>
      <c r="H87" s="90" t="s">
        <v>6518</v>
      </c>
      <c r="I87" s="90" t="s">
        <v>6567</v>
      </c>
      <c r="J87" s="90" t="s">
        <v>1233</v>
      </c>
      <c r="K87" s="90">
        <v>2015</v>
      </c>
      <c r="L87" s="120" t="str">
        <f>HYPERLINK("http://services.igi-global.com/resolvedoi/resolve.aspx?doi=10.4018/978-1-46668-711-0")</f>
        <v>http://services.igi-global.com/resolvedoi/resolve.aspx?doi=10.4018/978-1-46668-711-0</v>
      </c>
    </row>
    <row r="88" spans="1:12">
      <c r="A88" s="90">
        <v>255</v>
      </c>
      <c r="B88" s="90" t="s">
        <v>571</v>
      </c>
      <c r="C88" s="90" t="s">
        <v>7473</v>
      </c>
      <c r="D88" s="90">
        <v>9781522504931</v>
      </c>
      <c r="E88" s="90">
        <v>9781522504924</v>
      </c>
      <c r="F88" s="90" t="s">
        <v>6632</v>
      </c>
      <c r="G88" s="90">
        <v>1</v>
      </c>
      <c r="H88" s="90" t="s">
        <v>6518</v>
      </c>
      <c r="I88" s="90" t="s">
        <v>2239</v>
      </c>
      <c r="J88" s="90" t="s">
        <v>1233</v>
      </c>
      <c r="K88" s="90">
        <v>2017</v>
      </c>
      <c r="L88" s="120" t="str">
        <f>HYPERLINK("http://services.igi-global.com/resolvedoi/resolve.aspx?doi=10.4018/978-1-52250-492-4")</f>
        <v>http://services.igi-global.com/resolvedoi/resolve.aspx?doi=10.4018/978-1-52250-492-4</v>
      </c>
    </row>
    <row r="89" spans="1:12">
      <c r="A89" s="90">
        <v>248</v>
      </c>
      <c r="B89" s="90" t="s">
        <v>571</v>
      </c>
      <c r="C89" s="90" t="s">
        <v>7473</v>
      </c>
      <c r="D89" s="90">
        <v>9781522520481</v>
      </c>
      <c r="E89" s="90">
        <v>9781522520474</v>
      </c>
      <c r="F89" s="90" t="s">
        <v>6809</v>
      </c>
      <c r="G89" s="90">
        <v>1</v>
      </c>
      <c r="H89" s="90" t="s">
        <v>6518</v>
      </c>
      <c r="I89" s="90" t="s">
        <v>6810</v>
      </c>
      <c r="J89" s="90" t="s">
        <v>1233</v>
      </c>
      <c r="K89" s="90">
        <v>2017</v>
      </c>
      <c r="L89" s="120" t="str">
        <f>HYPERLINK("http://services.igi-global.com/resolvedoi/resolve.aspx?doi=10.4018/978-1-52252-047-4")</f>
        <v>http://services.igi-global.com/resolvedoi/resolve.aspx?doi=10.4018/978-1-52252-047-4</v>
      </c>
    </row>
    <row r="90" spans="1:12">
      <c r="A90" s="90">
        <v>249</v>
      </c>
      <c r="B90" s="90" t="s">
        <v>571</v>
      </c>
      <c r="C90" s="90" t="s">
        <v>7473</v>
      </c>
      <c r="D90" s="90">
        <v>9781683180074</v>
      </c>
      <c r="E90" s="90">
        <v>9781683180067</v>
      </c>
      <c r="F90" s="90" t="s">
        <v>6847</v>
      </c>
      <c r="G90" s="90">
        <v>1</v>
      </c>
      <c r="H90" s="90" t="s">
        <v>6518</v>
      </c>
      <c r="I90" s="90" t="s">
        <v>6848</v>
      </c>
      <c r="J90" s="90" t="s">
        <v>1233</v>
      </c>
      <c r="K90" s="90">
        <v>2017</v>
      </c>
      <c r="L90" s="120" t="str">
        <f>HYPERLINK("http://services.igi-global.com/resolvedoi/resolve.aspx?doi=10.4018/978-1-68318-006-7")</f>
        <v>http://services.igi-global.com/resolvedoi/resolve.aspx?doi=10.4018/978-1-68318-006-7</v>
      </c>
    </row>
    <row r="91" spans="1:12">
      <c r="A91" s="90">
        <v>278</v>
      </c>
      <c r="B91" s="90" t="s">
        <v>571</v>
      </c>
      <c r="C91" s="90" t="s">
        <v>7474</v>
      </c>
      <c r="D91" s="90">
        <v>9781522505860</v>
      </c>
      <c r="E91" s="90">
        <v>9781522505853</v>
      </c>
      <c r="F91" s="90" t="s">
        <v>6637</v>
      </c>
      <c r="G91" s="90">
        <v>1</v>
      </c>
      <c r="H91" s="90" t="s">
        <v>6518</v>
      </c>
      <c r="I91" s="90" t="s">
        <v>6638</v>
      </c>
      <c r="J91" s="90" t="s">
        <v>569</v>
      </c>
      <c r="K91" s="90">
        <v>2017</v>
      </c>
      <c r="L91" s="120" t="str">
        <f>HYPERLINK("http://services.igi-global.com/resolvedoi/resolve.aspx?doi=10.4018/978-1-52250-585-3")</f>
        <v>http://services.igi-global.com/resolvedoi/resolve.aspx?doi=10.4018/978-1-52250-585-3</v>
      </c>
    </row>
    <row r="92" spans="1:12">
      <c r="A92" s="90">
        <v>277</v>
      </c>
      <c r="B92" s="90" t="s">
        <v>571</v>
      </c>
      <c r="C92" s="90" t="s">
        <v>7474</v>
      </c>
      <c r="D92" s="90">
        <v>9781522507017</v>
      </c>
      <c r="E92" s="90">
        <v>9781522507000</v>
      </c>
      <c r="F92" s="90" t="s">
        <v>6659</v>
      </c>
      <c r="G92" s="90">
        <v>1</v>
      </c>
      <c r="H92" s="90" t="s">
        <v>6518</v>
      </c>
      <c r="I92" s="90" t="s">
        <v>6660</v>
      </c>
      <c r="J92" s="90" t="s">
        <v>569</v>
      </c>
      <c r="K92" s="90">
        <v>2017</v>
      </c>
      <c r="L92" s="120" t="str">
        <f>HYPERLINK("http://services.igi-global.com/resolvedoi/resolve.aspx?doi=10.4018/978-1-52250-700-0")</f>
        <v>http://services.igi-global.com/resolvedoi/resolve.aspx?doi=10.4018/978-1-52250-700-0</v>
      </c>
    </row>
    <row r="93" spans="1:12">
      <c r="A93" s="90">
        <v>273</v>
      </c>
      <c r="B93" s="90" t="s">
        <v>571</v>
      </c>
      <c r="C93" s="90" t="s">
        <v>7474</v>
      </c>
      <c r="D93" s="90">
        <v>9781522509387</v>
      </c>
      <c r="E93" s="90">
        <v>9781522509370</v>
      </c>
      <c r="F93" s="90" t="s">
        <v>6701</v>
      </c>
      <c r="G93" s="90">
        <v>1</v>
      </c>
      <c r="H93" s="90" t="s">
        <v>6518</v>
      </c>
      <c r="I93" s="90" t="s">
        <v>6702</v>
      </c>
      <c r="J93" s="90" t="s">
        <v>569</v>
      </c>
      <c r="K93" s="90">
        <v>2017</v>
      </c>
      <c r="L93" s="120" t="str">
        <f>HYPERLINK("http://services.igi-global.com/resolvedoi/resolve.aspx?doi=10.4018/978-1-52250-937-0")</f>
        <v>http://services.igi-global.com/resolvedoi/resolve.aspx?doi=10.4018/978-1-52250-937-0</v>
      </c>
    </row>
    <row r="94" spans="1:12">
      <c r="A94" s="90">
        <v>275</v>
      </c>
      <c r="B94" s="90" t="s">
        <v>571</v>
      </c>
      <c r="C94" s="90" t="s">
        <v>7474</v>
      </c>
      <c r="D94" s="90">
        <v>9781522509431</v>
      </c>
      <c r="E94" s="90">
        <v>9781522509424</v>
      </c>
      <c r="F94" s="90" t="s">
        <v>6703</v>
      </c>
      <c r="G94" s="90">
        <v>1</v>
      </c>
      <c r="H94" s="90" t="s">
        <v>6518</v>
      </c>
      <c r="I94" s="90" t="s">
        <v>6397</v>
      </c>
      <c r="J94" s="90" t="s">
        <v>569</v>
      </c>
      <c r="K94" s="90">
        <v>2017</v>
      </c>
      <c r="L94" s="120" t="str">
        <f>HYPERLINK("http://services.igi-global.com/resolvedoi/resolve.aspx?doi=10.4018/978-1-52250-942-4")</f>
        <v>http://services.igi-global.com/resolvedoi/resolve.aspx?doi=10.4018/978-1-52250-942-4</v>
      </c>
    </row>
    <row r="95" spans="1:12">
      <c r="A95" s="90">
        <v>274</v>
      </c>
      <c r="B95" s="90" t="s">
        <v>571</v>
      </c>
      <c r="C95" s="90" t="s">
        <v>7474</v>
      </c>
      <c r="D95" s="90">
        <v>9781522510383</v>
      </c>
      <c r="E95" s="90">
        <v>9781522510376</v>
      </c>
      <c r="F95" s="90" t="s">
        <v>6725</v>
      </c>
      <c r="G95" s="90">
        <v>1</v>
      </c>
      <c r="H95" s="90" t="s">
        <v>6518</v>
      </c>
      <c r="I95" s="90" t="s">
        <v>6726</v>
      </c>
      <c r="J95" s="90" t="s">
        <v>569</v>
      </c>
      <c r="K95" s="90">
        <v>2017</v>
      </c>
      <c r="L95" s="120" t="str">
        <f>HYPERLINK("http://services.igi-global.com/resolvedoi/resolve.aspx?doi=10.4018/978-1-52251-037-6")</f>
        <v>http://services.igi-global.com/resolvedoi/resolve.aspx?doi=10.4018/978-1-52251-037-6</v>
      </c>
    </row>
    <row r="96" spans="1:12">
      <c r="A96" s="90">
        <v>272</v>
      </c>
      <c r="B96" s="90" t="s">
        <v>571</v>
      </c>
      <c r="C96" s="90" t="s">
        <v>7474</v>
      </c>
      <c r="D96" s="90">
        <v>9781522516088</v>
      </c>
      <c r="E96" s="90">
        <v>9781522516071</v>
      </c>
      <c r="F96" s="90" t="s">
        <v>6731</v>
      </c>
      <c r="G96" s="90">
        <v>1</v>
      </c>
      <c r="H96" s="90" t="s">
        <v>6518</v>
      </c>
      <c r="I96" s="90" t="s">
        <v>6732</v>
      </c>
      <c r="J96" s="90" t="s">
        <v>569</v>
      </c>
      <c r="K96" s="90">
        <v>2017</v>
      </c>
      <c r="L96" s="120" t="str">
        <f>HYPERLINK("http://services.igi-global.com/resolvedoi/resolve.aspx?doi=10.4018/978-1-52251-607-1")</f>
        <v>http://services.igi-global.com/resolvedoi/resolve.aspx?doi=10.4018/978-1-52251-607-1</v>
      </c>
    </row>
    <row r="97" spans="1:12">
      <c r="A97" s="90">
        <v>276</v>
      </c>
      <c r="B97" s="90" t="s">
        <v>571</v>
      </c>
      <c r="C97" s="90" t="s">
        <v>7474</v>
      </c>
      <c r="D97" s="90">
        <v>9781522516309</v>
      </c>
      <c r="E97" s="90">
        <v>9781522516293</v>
      </c>
      <c r="F97" s="90" t="s">
        <v>6733</v>
      </c>
      <c r="G97" s="90">
        <v>1</v>
      </c>
      <c r="H97" s="90" t="s">
        <v>6518</v>
      </c>
      <c r="I97" s="90" t="s">
        <v>1424</v>
      </c>
      <c r="J97" s="90" t="s">
        <v>569</v>
      </c>
      <c r="K97" s="90">
        <v>2017</v>
      </c>
      <c r="L97" s="120" t="str">
        <f>HYPERLINK("http://services.igi-global.com/resolvedoi/resolve.aspx?doi=10.4018/978-1-52251-629-3")</f>
        <v>http://services.igi-global.com/resolvedoi/resolve.aspx?doi=10.4018/978-1-52251-629-3</v>
      </c>
    </row>
    <row r="98" spans="1:12">
      <c r="A98" s="90">
        <v>270</v>
      </c>
      <c r="B98" s="90" t="s">
        <v>571</v>
      </c>
      <c r="C98" s="90" t="s">
        <v>7474</v>
      </c>
      <c r="D98" s="90">
        <v>9781522516842</v>
      </c>
      <c r="E98" s="90">
        <v>9781522516835</v>
      </c>
      <c r="F98" s="90" t="s">
        <v>6741</v>
      </c>
      <c r="G98" s="90">
        <v>1</v>
      </c>
      <c r="H98" s="90" t="s">
        <v>6518</v>
      </c>
      <c r="I98" s="90" t="s">
        <v>6742</v>
      </c>
      <c r="J98" s="90" t="s">
        <v>569</v>
      </c>
      <c r="K98" s="90">
        <v>2017</v>
      </c>
      <c r="L98" s="120" t="str">
        <f>HYPERLINK("http://services.igi-global.com/resolvedoi/resolve.aspx?doi=10.4018/978-1-52251-683-5")</f>
        <v>http://services.igi-global.com/resolvedoi/resolve.aspx?doi=10.4018/978-1-52251-683-5</v>
      </c>
    </row>
    <row r="99" spans="1:12">
      <c r="A99" s="90">
        <v>271</v>
      </c>
      <c r="B99" s="90" t="s">
        <v>571</v>
      </c>
      <c r="C99" s="90" t="s">
        <v>7474</v>
      </c>
      <c r="D99" s="90">
        <v>9781522517160</v>
      </c>
      <c r="E99" s="90">
        <v>9781522517153</v>
      </c>
      <c r="F99" s="90" t="s">
        <v>6747</v>
      </c>
      <c r="G99" s="90">
        <v>1</v>
      </c>
      <c r="H99" s="90" t="s">
        <v>6518</v>
      </c>
      <c r="I99" s="90" t="s">
        <v>6748</v>
      </c>
      <c r="J99" s="90" t="s">
        <v>569</v>
      </c>
      <c r="K99" s="90">
        <v>2017</v>
      </c>
      <c r="L99" s="120" t="str">
        <f>HYPERLINK("http://services.igi-global.com/resolvedoi/resolve.aspx?doi=10.4018/978-1-52251-715-3")</f>
        <v>http://services.igi-global.com/resolvedoi/resolve.aspx?doi=10.4018/978-1-52251-715-3</v>
      </c>
    </row>
    <row r="100" spans="1:12">
      <c r="A100" s="90">
        <v>269</v>
      </c>
      <c r="B100" s="90" t="s">
        <v>571</v>
      </c>
      <c r="C100" s="90" t="s">
        <v>7474</v>
      </c>
      <c r="D100" s="90">
        <v>9781522518150</v>
      </c>
      <c r="E100" s="90">
        <v>9781522518143</v>
      </c>
      <c r="F100" s="90" t="s">
        <v>6761</v>
      </c>
      <c r="G100" s="90">
        <v>1</v>
      </c>
      <c r="H100" s="90" t="s">
        <v>6518</v>
      </c>
      <c r="I100" s="90" t="s">
        <v>6762</v>
      </c>
      <c r="J100" s="90" t="s">
        <v>569</v>
      </c>
      <c r="K100" s="90">
        <v>2017</v>
      </c>
      <c r="L100" s="120" t="str">
        <f>HYPERLINK("http://services.igi-global.com/resolvedoi/resolve.aspx?doi=10.4018/978-1-52251-814-3")</f>
        <v>http://services.igi-global.com/resolvedoi/resolve.aspx?doi=10.4018/978-1-52251-814-3</v>
      </c>
    </row>
    <row r="101" spans="1:12">
      <c r="A101" s="90">
        <v>267</v>
      </c>
      <c r="B101" s="90" t="s">
        <v>571</v>
      </c>
      <c r="C101" s="90" t="s">
        <v>7474</v>
      </c>
      <c r="D101" s="90">
        <v>9781522519720</v>
      </c>
      <c r="E101" s="90">
        <v>9781522519713</v>
      </c>
      <c r="F101" s="90" t="s">
        <v>6794</v>
      </c>
      <c r="G101" s="90">
        <v>1</v>
      </c>
      <c r="H101" s="90" t="s">
        <v>6518</v>
      </c>
      <c r="I101" s="90" t="s">
        <v>6795</v>
      </c>
      <c r="J101" s="90" t="s">
        <v>569</v>
      </c>
      <c r="K101" s="90">
        <v>2017</v>
      </c>
      <c r="L101" s="120" t="str">
        <f>HYPERLINK("http://services.igi-global.com/resolvedoi/resolve.aspx?doi=10.4018/978-1-52251-971-3")</f>
        <v>http://services.igi-global.com/resolvedoi/resolve.aspx?doi=10.4018/978-1-52251-971-3</v>
      </c>
    </row>
    <row r="102" spans="1:12">
      <c r="A102" s="90">
        <v>268</v>
      </c>
      <c r="B102" s="90" t="s">
        <v>571</v>
      </c>
      <c r="C102" s="90" t="s">
        <v>7474</v>
      </c>
      <c r="D102" s="90">
        <v>9781522519799</v>
      </c>
      <c r="E102" s="90">
        <v>9781522519782</v>
      </c>
      <c r="F102" s="90" t="s">
        <v>6796</v>
      </c>
      <c r="G102" s="90">
        <v>1</v>
      </c>
      <c r="H102" s="90" t="s">
        <v>6518</v>
      </c>
      <c r="I102" s="90" t="s">
        <v>5335</v>
      </c>
      <c r="J102" s="90" t="s">
        <v>569</v>
      </c>
      <c r="K102" s="90">
        <v>2017</v>
      </c>
      <c r="L102" s="120" t="str">
        <f>HYPERLINK("http://services.igi-global.com/resolvedoi/resolve.aspx?doi=10.4018/978-1-52251-978-2")</f>
        <v>http://services.igi-global.com/resolvedoi/resolve.aspx?doi=10.4018/978-1-52251-978-2</v>
      </c>
    </row>
    <row r="103" spans="1:12">
      <c r="A103" s="90">
        <v>266</v>
      </c>
      <c r="B103" s="90" t="s">
        <v>571</v>
      </c>
      <c r="C103" s="90" t="s">
        <v>7474</v>
      </c>
      <c r="D103" s="90">
        <v>9781522521372</v>
      </c>
      <c r="E103" s="90">
        <v>9781522521365</v>
      </c>
      <c r="F103" s="90" t="s">
        <v>6826</v>
      </c>
      <c r="G103" s="90">
        <v>1</v>
      </c>
      <c r="H103" s="90" t="s">
        <v>6518</v>
      </c>
      <c r="I103" s="90" t="s">
        <v>6355</v>
      </c>
      <c r="J103" s="90" t="s">
        <v>1233</v>
      </c>
      <c r="K103" s="90">
        <v>2017</v>
      </c>
      <c r="L103" s="120" t="str">
        <f>HYPERLINK("http://services.igi-global.com/resolvedoi/resolve.aspx?doi=10.4018/978-1-52252-136-5")</f>
        <v>http://services.igi-global.com/resolvedoi/resolve.aspx?doi=10.4018/978-1-52252-136-5</v>
      </c>
    </row>
    <row r="104" spans="1:12">
      <c r="A104" s="90">
        <v>256</v>
      </c>
      <c r="B104" s="90" t="s">
        <v>571</v>
      </c>
      <c r="C104" s="90" t="s">
        <v>7475</v>
      </c>
      <c r="D104" s="90">
        <v>9781522503002</v>
      </c>
      <c r="E104" s="90">
        <v>9781522502999</v>
      </c>
      <c r="F104" s="90" t="s">
        <v>6612</v>
      </c>
      <c r="G104" s="90">
        <v>1</v>
      </c>
      <c r="H104" s="90" t="s">
        <v>6518</v>
      </c>
      <c r="I104" s="90" t="s">
        <v>7476</v>
      </c>
      <c r="J104" s="90" t="s">
        <v>1233</v>
      </c>
      <c r="K104" s="90">
        <v>2016</v>
      </c>
      <c r="L104" s="120" t="str">
        <f>HYPERLINK("http://services.igi-global.com/resolvedoi/resolve.aspx?doi=10.4018/978-1-52250-299-9")</f>
        <v>http://services.igi-global.com/resolvedoi/resolve.aspx?doi=10.4018/978-1-52250-299-9</v>
      </c>
    </row>
    <row r="105" spans="1:12">
      <c r="A105" s="90">
        <v>253</v>
      </c>
      <c r="B105" s="90" t="s">
        <v>571</v>
      </c>
      <c r="C105" s="90" t="s">
        <v>7475</v>
      </c>
      <c r="D105" s="90">
        <v>9781522507376</v>
      </c>
      <c r="E105" s="90">
        <v>9781522507369</v>
      </c>
      <c r="F105" s="90" t="s">
        <v>6667</v>
      </c>
      <c r="G105" s="90">
        <v>1</v>
      </c>
      <c r="H105" s="90" t="s">
        <v>6518</v>
      </c>
      <c r="I105" s="90" t="s">
        <v>6668</v>
      </c>
      <c r="J105" s="90" t="s">
        <v>1233</v>
      </c>
      <c r="K105" s="90">
        <v>2017</v>
      </c>
      <c r="L105" s="120" t="str">
        <f>HYPERLINK("http://services.igi-global.com/resolvedoi/resolve.aspx?doi=10.4018/978-1-52250-736-9")</f>
        <v>http://services.igi-global.com/resolvedoi/resolve.aspx?doi=10.4018/978-1-52250-736-9</v>
      </c>
    </row>
    <row r="106" spans="1:12">
      <c r="A106" s="90">
        <v>252</v>
      </c>
      <c r="B106" s="90" t="s">
        <v>571</v>
      </c>
      <c r="C106" s="90" t="s">
        <v>7477</v>
      </c>
      <c r="D106" s="90">
        <v>9781522516781</v>
      </c>
      <c r="E106" s="90">
        <v>9781522516774</v>
      </c>
      <c r="F106" s="90" t="s">
        <v>6740</v>
      </c>
      <c r="G106" s="90">
        <v>1</v>
      </c>
      <c r="H106" s="90" t="s">
        <v>6518</v>
      </c>
      <c r="I106" s="90" t="s">
        <v>3446</v>
      </c>
      <c r="J106" s="90" t="s">
        <v>1233</v>
      </c>
      <c r="K106" s="90">
        <v>2017</v>
      </c>
      <c r="L106" s="120" t="str">
        <f>HYPERLINK("http://services.igi-global.com/resolvedoi/resolve.aspx?doi=10.4018/978-1-52251-677-4")</f>
        <v>http://services.igi-global.com/resolvedoi/resolve.aspx?doi=10.4018/978-1-52251-677-4</v>
      </c>
    </row>
    <row r="107" spans="1:12" ht="16.2">
      <c r="A107" s="90">
        <v>13</v>
      </c>
      <c r="B107" s="90" t="s">
        <v>571</v>
      </c>
      <c r="C107" s="90" t="s">
        <v>7496</v>
      </c>
      <c r="D107" s="90" t="s">
        <v>6912</v>
      </c>
      <c r="E107" s="90" t="s">
        <v>6913</v>
      </c>
      <c r="F107" s="90" t="s">
        <v>6914</v>
      </c>
      <c r="G107" s="90">
        <v>1</v>
      </c>
      <c r="H107" s="90" t="s">
        <v>6518</v>
      </c>
      <c r="I107" s="90" t="s">
        <v>6915</v>
      </c>
      <c r="J107" s="90" t="s">
        <v>1233</v>
      </c>
      <c r="K107" s="90" t="s">
        <v>6916</v>
      </c>
      <c r="L107" s="127" t="s">
        <v>6917</v>
      </c>
    </row>
    <row r="108" spans="1:12">
      <c r="A108" s="90">
        <v>148</v>
      </c>
      <c r="B108" s="90" t="s">
        <v>5071</v>
      </c>
      <c r="C108" s="90" t="s">
        <v>7478</v>
      </c>
      <c r="D108" s="90">
        <v>9781466645912</v>
      </c>
      <c r="E108" s="90">
        <v>9781466645905</v>
      </c>
      <c r="F108" s="90" t="s">
        <v>6528</v>
      </c>
      <c r="G108" s="90">
        <v>1</v>
      </c>
      <c r="H108" s="90" t="s">
        <v>6518</v>
      </c>
      <c r="I108" s="90" t="s">
        <v>6529</v>
      </c>
      <c r="J108" s="90" t="s">
        <v>569</v>
      </c>
      <c r="K108" s="90">
        <v>2014</v>
      </c>
      <c r="L108" s="120" t="str">
        <f>HYPERLINK("http://services.igi-global.com/resolvedoi/resolve.aspx?doi=10.4018/978-1-46664-590-5")</f>
        <v>http://services.igi-global.com/resolvedoi/resolve.aspx?doi=10.4018/978-1-46664-590-5</v>
      </c>
    </row>
    <row r="109" spans="1:12">
      <c r="A109" s="90">
        <v>147</v>
      </c>
      <c r="B109" s="90" t="s">
        <v>5071</v>
      </c>
      <c r="C109" s="90" t="s">
        <v>7478</v>
      </c>
      <c r="D109" s="90">
        <v>9781466663763</v>
      </c>
      <c r="E109" s="90">
        <v>9781466663756</v>
      </c>
      <c r="F109" s="90" t="s">
        <v>6545</v>
      </c>
      <c r="G109" s="90">
        <v>1</v>
      </c>
      <c r="H109" s="90" t="s">
        <v>6518</v>
      </c>
      <c r="I109" s="90" t="s">
        <v>7479</v>
      </c>
      <c r="J109" s="90" t="s">
        <v>569</v>
      </c>
      <c r="K109" s="90">
        <v>2015</v>
      </c>
      <c r="L109" s="120" t="str">
        <f>HYPERLINK("http://services.igi-global.com/resolvedoi/resolve.aspx?doi=10.4018/978-1-46666-375-6")</f>
        <v>http://services.igi-global.com/resolvedoi/resolve.aspx?doi=10.4018/978-1-46666-375-6</v>
      </c>
    </row>
    <row r="110" spans="1:12">
      <c r="A110" s="90">
        <v>146</v>
      </c>
      <c r="B110" s="90" t="s">
        <v>5071</v>
      </c>
      <c r="C110" s="90" t="s">
        <v>7478</v>
      </c>
      <c r="D110" s="90">
        <v>9781466685208</v>
      </c>
      <c r="E110" s="90">
        <v>9781466685192</v>
      </c>
      <c r="F110" s="90" t="s">
        <v>6558</v>
      </c>
      <c r="G110" s="90">
        <v>1</v>
      </c>
      <c r="H110" s="90" t="s">
        <v>6518</v>
      </c>
      <c r="I110" s="90" t="s">
        <v>6559</v>
      </c>
      <c r="J110" s="90" t="s">
        <v>569</v>
      </c>
      <c r="K110" s="90">
        <v>2015</v>
      </c>
      <c r="L110" s="120" t="str">
        <f>HYPERLINK("http://services.igi-global.com/resolvedoi/resolve.aspx?doi=10.4018/978-1-46668-519-2")</f>
        <v>http://services.igi-global.com/resolvedoi/resolve.aspx?doi=10.4018/978-1-46668-519-2</v>
      </c>
    </row>
    <row r="111" spans="1:12">
      <c r="A111" s="90">
        <v>145</v>
      </c>
      <c r="B111" s="90" t="s">
        <v>5071</v>
      </c>
      <c r="C111" s="90" t="s">
        <v>7478</v>
      </c>
      <c r="D111" s="90">
        <v>9781466696815</v>
      </c>
      <c r="E111" s="90">
        <v>9781466696808</v>
      </c>
      <c r="F111" s="90" t="s">
        <v>6578</v>
      </c>
      <c r="G111" s="90">
        <v>1</v>
      </c>
      <c r="H111" s="90" t="s">
        <v>6518</v>
      </c>
      <c r="I111" s="90" t="s">
        <v>2218</v>
      </c>
      <c r="J111" s="90" t="s">
        <v>569</v>
      </c>
      <c r="K111" s="90">
        <v>2016</v>
      </c>
      <c r="L111" s="120" t="str">
        <f>HYPERLINK("http://services.igi-global.com/resolvedoi/resolve.aspx?doi=10.4018/978-1-46669-680-8")</f>
        <v>http://services.igi-global.com/resolvedoi/resolve.aspx?doi=10.4018/978-1-46669-680-8</v>
      </c>
    </row>
    <row r="112" spans="1:12">
      <c r="A112" s="90">
        <v>144</v>
      </c>
      <c r="B112" s="90" t="s">
        <v>5071</v>
      </c>
      <c r="C112" s="90" t="s">
        <v>7478</v>
      </c>
      <c r="D112" s="90">
        <v>9781466699366</v>
      </c>
      <c r="E112" s="90">
        <v>9781466699359</v>
      </c>
      <c r="F112" s="90" t="s">
        <v>6589</v>
      </c>
      <c r="G112" s="90">
        <v>1</v>
      </c>
      <c r="H112" s="90" t="s">
        <v>6518</v>
      </c>
      <c r="I112" s="90" t="s">
        <v>6590</v>
      </c>
      <c r="J112" s="90" t="s">
        <v>569</v>
      </c>
      <c r="K112" s="90">
        <v>2016</v>
      </c>
      <c r="L112" s="120" t="str">
        <f>HYPERLINK("http://services.igi-global.com/resolvedoi/resolve.aspx?doi=10.4018/978-1-46669-935-9")</f>
        <v>http://services.igi-global.com/resolvedoi/resolve.aspx?doi=10.4018/978-1-46669-935-9</v>
      </c>
    </row>
    <row r="113" spans="1:12">
      <c r="A113" s="90">
        <v>143</v>
      </c>
      <c r="B113" s="90" t="s">
        <v>5071</v>
      </c>
      <c r="C113" s="90" t="s">
        <v>7478</v>
      </c>
      <c r="D113" s="90">
        <v>9781522504818</v>
      </c>
      <c r="E113" s="90">
        <v>9781522504801</v>
      </c>
      <c r="F113" s="90" t="s">
        <v>6630</v>
      </c>
      <c r="G113" s="90">
        <v>1</v>
      </c>
      <c r="H113" s="90" t="s">
        <v>6518</v>
      </c>
      <c r="I113" s="90" t="s">
        <v>1617</v>
      </c>
      <c r="J113" s="90" t="s">
        <v>569</v>
      </c>
      <c r="K113" s="90">
        <v>2016</v>
      </c>
      <c r="L113" s="120" t="str">
        <f>HYPERLINK("http://services.igi-global.com/resolvedoi/resolve.aspx?doi=10.4018/978-1-52250-480-1")</f>
        <v>http://services.igi-global.com/resolvedoi/resolve.aspx?doi=10.4018/978-1-52250-480-1</v>
      </c>
    </row>
    <row r="114" spans="1:12">
      <c r="A114" s="90">
        <v>139</v>
      </c>
      <c r="B114" s="90" t="s">
        <v>5071</v>
      </c>
      <c r="C114" s="90" t="s">
        <v>7478</v>
      </c>
      <c r="D114" s="90">
        <v>9781522508205</v>
      </c>
      <c r="E114" s="90">
        <v>9781522508199</v>
      </c>
      <c r="F114" s="90" t="s">
        <v>6677</v>
      </c>
      <c r="G114" s="90">
        <v>1</v>
      </c>
      <c r="H114" s="90" t="s">
        <v>6518</v>
      </c>
      <c r="I114" s="90" t="s">
        <v>6678</v>
      </c>
      <c r="J114" s="90" t="s">
        <v>569</v>
      </c>
      <c r="K114" s="90">
        <v>2017</v>
      </c>
      <c r="L114" s="120" t="str">
        <f>HYPERLINK("http://services.igi-global.com/resolvedoi/resolve.aspx?doi=10.4018/978-1-52250-819-9")</f>
        <v>http://services.igi-global.com/resolvedoi/resolve.aspx?doi=10.4018/978-1-52250-819-9</v>
      </c>
    </row>
    <row r="115" spans="1:12">
      <c r="A115" s="90">
        <v>141</v>
      </c>
      <c r="B115" s="90" t="s">
        <v>5071</v>
      </c>
      <c r="C115" s="90" t="s">
        <v>7478</v>
      </c>
      <c r="D115" s="90">
        <v>9781522508786</v>
      </c>
      <c r="E115" s="90">
        <v>9781522508779</v>
      </c>
      <c r="F115" s="90" t="s">
        <v>6685</v>
      </c>
      <c r="G115" s="90">
        <v>1</v>
      </c>
      <c r="H115" s="90" t="s">
        <v>6518</v>
      </c>
      <c r="I115" s="90" t="s">
        <v>6686</v>
      </c>
      <c r="J115" s="90" t="s">
        <v>569</v>
      </c>
      <c r="K115" s="90">
        <v>2017</v>
      </c>
      <c r="L115" s="120" t="str">
        <f>HYPERLINK("http://services.igi-global.com/resolvedoi/resolve.aspx?doi=10.4018/978-1-52250-877-9")</f>
        <v>http://services.igi-global.com/resolvedoi/resolve.aspx?doi=10.4018/978-1-52250-877-9</v>
      </c>
    </row>
    <row r="116" spans="1:12">
      <c r="A116" s="90">
        <v>142</v>
      </c>
      <c r="B116" s="90" t="s">
        <v>5071</v>
      </c>
      <c r="C116" s="90" t="s">
        <v>7478</v>
      </c>
      <c r="D116" s="90">
        <v>9781522508939</v>
      </c>
      <c r="E116" s="90">
        <v>9781522508922</v>
      </c>
      <c r="F116" s="90" t="s">
        <v>6691</v>
      </c>
      <c r="G116" s="90">
        <v>1</v>
      </c>
      <c r="H116" s="90" t="s">
        <v>6518</v>
      </c>
      <c r="I116" s="90" t="s">
        <v>2218</v>
      </c>
      <c r="J116" s="90" t="s">
        <v>569</v>
      </c>
      <c r="K116" s="90">
        <v>2017</v>
      </c>
      <c r="L116" s="120" t="str">
        <f>HYPERLINK("http://services.igi-global.com/resolvedoi/resolve.aspx?doi=10.4018/978-1-52250-892-2")</f>
        <v>http://services.igi-global.com/resolvedoi/resolve.aspx?doi=10.4018/978-1-52250-892-2</v>
      </c>
    </row>
    <row r="117" spans="1:12">
      <c r="A117" s="90">
        <v>140</v>
      </c>
      <c r="B117" s="90" t="s">
        <v>5071</v>
      </c>
      <c r="C117" s="90" t="s">
        <v>7478</v>
      </c>
      <c r="D117" s="90">
        <v>9781522509127</v>
      </c>
      <c r="E117" s="90">
        <v>9781522509110</v>
      </c>
      <c r="F117" s="90" t="s">
        <v>6694</v>
      </c>
      <c r="G117" s="90">
        <v>1</v>
      </c>
      <c r="H117" s="90" t="s">
        <v>6518</v>
      </c>
      <c r="I117" s="90" t="s">
        <v>6695</v>
      </c>
      <c r="J117" s="90" t="s">
        <v>569</v>
      </c>
      <c r="K117" s="90">
        <v>2017</v>
      </c>
      <c r="L117" s="120" t="str">
        <f>HYPERLINK("http://services.igi-global.com/resolvedoi/resolve.aspx?doi=10.4018/978-1-52250-911-0")</f>
        <v>http://services.igi-global.com/resolvedoi/resolve.aspx?doi=10.4018/978-1-52250-911-0</v>
      </c>
    </row>
    <row r="118" spans="1:12">
      <c r="A118" s="90">
        <v>137</v>
      </c>
      <c r="B118" s="90" t="s">
        <v>5071</v>
      </c>
      <c r="C118" s="90" t="s">
        <v>7478</v>
      </c>
      <c r="D118" s="90">
        <v>9781522509660</v>
      </c>
      <c r="E118" s="90">
        <v>9781522509653</v>
      </c>
      <c r="F118" s="90" t="s">
        <v>6711</v>
      </c>
      <c r="G118" s="90">
        <v>1</v>
      </c>
      <c r="H118" s="90" t="s">
        <v>6518</v>
      </c>
      <c r="I118" s="90" t="s">
        <v>6712</v>
      </c>
      <c r="J118" s="90" t="s">
        <v>569</v>
      </c>
      <c r="K118" s="90">
        <v>2017</v>
      </c>
      <c r="L118" s="120" t="str">
        <f>HYPERLINK("http://services.igi-global.com/resolvedoi/resolve.aspx?doi=10.4018/978-1-52250-965-3")</f>
        <v>http://services.igi-global.com/resolvedoi/resolve.aspx?doi=10.4018/978-1-52250-965-3</v>
      </c>
    </row>
    <row r="119" spans="1:12">
      <c r="A119" s="90">
        <v>136</v>
      </c>
      <c r="B119" s="90" t="s">
        <v>5071</v>
      </c>
      <c r="C119" s="90" t="s">
        <v>7478</v>
      </c>
      <c r="D119" s="90">
        <v>9781522516903</v>
      </c>
      <c r="E119" s="90">
        <v>9781522516897</v>
      </c>
      <c r="F119" s="90" t="s">
        <v>6743</v>
      </c>
      <c r="G119" s="90">
        <v>1</v>
      </c>
      <c r="H119" s="90" t="s">
        <v>6518</v>
      </c>
      <c r="I119" s="90" t="s">
        <v>742</v>
      </c>
      <c r="J119" s="90" t="s">
        <v>569</v>
      </c>
      <c r="K119" s="90">
        <v>2017</v>
      </c>
      <c r="L119" s="120" t="str">
        <f>HYPERLINK("http://services.igi-global.com/resolvedoi/resolve.aspx?doi=10.4018/978-1-52251-689-7")</f>
        <v>http://services.igi-global.com/resolvedoi/resolve.aspx?doi=10.4018/978-1-52251-689-7</v>
      </c>
    </row>
    <row r="120" spans="1:12">
      <c r="A120" s="90">
        <v>138</v>
      </c>
      <c r="B120" s="90" t="s">
        <v>5071</v>
      </c>
      <c r="C120" s="90" t="s">
        <v>7478</v>
      </c>
      <c r="D120" s="90">
        <v>9781522517399</v>
      </c>
      <c r="E120" s="90">
        <v>9781522517382</v>
      </c>
      <c r="F120" s="90" t="s">
        <v>6753</v>
      </c>
      <c r="G120" s="90">
        <v>1</v>
      </c>
      <c r="H120" s="90" t="s">
        <v>6518</v>
      </c>
      <c r="I120" s="90" t="s">
        <v>6754</v>
      </c>
      <c r="J120" s="90" t="s">
        <v>569</v>
      </c>
      <c r="K120" s="90">
        <v>2017</v>
      </c>
      <c r="L120" s="120" t="str">
        <f>HYPERLINK("http://services.igi-global.com/resolvedoi/resolve.aspx?doi=10.4018/978-1-52251-738-2")</f>
        <v>http://services.igi-global.com/resolvedoi/resolve.aspx?doi=10.4018/978-1-52251-738-2</v>
      </c>
    </row>
    <row r="121" spans="1:12">
      <c r="A121" s="90">
        <v>134</v>
      </c>
      <c r="B121" s="90" t="s">
        <v>5071</v>
      </c>
      <c r="C121" s="90" t="s">
        <v>7478</v>
      </c>
      <c r="D121" s="90">
        <v>9781522518525</v>
      </c>
      <c r="E121" s="90">
        <v>9781522518518</v>
      </c>
      <c r="F121" s="90" t="s">
        <v>6773</v>
      </c>
      <c r="G121" s="90">
        <v>1</v>
      </c>
      <c r="H121" s="90" t="s">
        <v>6518</v>
      </c>
      <c r="I121" s="90" t="s">
        <v>6774</v>
      </c>
      <c r="J121" s="90" t="s">
        <v>569</v>
      </c>
      <c r="K121" s="90">
        <v>2017</v>
      </c>
      <c r="L121" s="120" t="str">
        <f>HYPERLINK("http://services.igi-global.com/resolvedoi/resolve.aspx?doi=10.4018/978-1-52251-851-8")</f>
        <v>http://services.igi-global.com/resolvedoi/resolve.aspx?doi=10.4018/978-1-52251-851-8</v>
      </c>
    </row>
    <row r="122" spans="1:12">
      <c r="A122" s="90">
        <v>135</v>
      </c>
      <c r="B122" s="90" t="s">
        <v>5071</v>
      </c>
      <c r="C122" s="90" t="s">
        <v>7478</v>
      </c>
      <c r="D122" s="90">
        <v>9781522518839</v>
      </c>
      <c r="E122" s="90">
        <v>9781522518822</v>
      </c>
      <c r="F122" s="90" t="s">
        <v>6777</v>
      </c>
      <c r="G122" s="90">
        <v>1</v>
      </c>
      <c r="H122" s="90" t="s">
        <v>6518</v>
      </c>
      <c r="I122" s="90" t="s">
        <v>6778</v>
      </c>
      <c r="J122" s="90" t="s">
        <v>569</v>
      </c>
      <c r="K122" s="90">
        <v>2017</v>
      </c>
      <c r="L122" s="120" t="str">
        <f>HYPERLINK("http://services.igi-global.com/resolvedoi/resolve.aspx?doi=10.4018/978-1-52251-882-2")</f>
        <v>http://services.igi-global.com/resolvedoi/resolve.aspx?doi=10.4018/978-1-52251-882-2</v>
      </c>
    </row>
    <row r="123" spans="1:12">
      <c r="A123" s="90">
        <v>133</v>
      </c>
      <c r="B123" s="90" t="s">
        <v>5071</v>
      </c>
      <c r="C123" s="90" t="s">
        <v>7478</v>
      </c>
      <c r="D123" s="90">
        <v>9781522520276</v>
      </c>
      <c r="E123" s="90">
        <v>9781522520269</v>
      </c>
      <c r="F123" s="90" t="s">
        <v>6806</v>
      </c>
      <c r="G123" s="90">
        <v>1</v>
      </c>
      <c r="H123" s="90" t="s">
        <v>6518</v>
      </c>
      <c r="I123" s="90" t="s">
        <v>7480</v>
      </c>
      <c r="J123" s="90" t="s">
        <v>569</v>
      </c>
      <c r="K123" s="90">
        <v>2017</v>
      </c>
      <c r="L123" s="120" t="str">
        <f>HYPERLINK("http://services.igi-global.com/resolvedoi/resolve.aspx?doi=10.4018/978-1-52252-026-9")</f>
        <v>http://services.igi-global.com/resolvedoi/resolve.aspx?doi=10.4018/978-1-52252-026-9</v>
      </c>
    </row>
    <row r="124" spans="1:12">
      <c r="A124" s="90">
        <v>132</v>
      </c>
      <c r="B124" s="90" t="s">
        <v>5071</v>
      </c>
      <c r="C124" s="90" t="s">
        <v>7478</v>
      </c>
      <c r="D124" s="90">
        <v>9781522520702</v>
      </c>
      <c r="E124" s="90">
        <v>9781522520696</v>
      </c>
      <c r="F124" s="90" t="s">
        <v>6812</v>
      </c>
      <c r="G124" s="90">
        <v>1</v>
      </c>
      <c r="H124" s="90" t="s">
        <v>6518</v>
      </c>
      <c r="I124" s="90" t="s">
        <v>6813</v>
      </c>
      <c r="J124" s="90" t="s">
        <v>569</v>
      </c>
      <c r="K124" s="90">
        <v>2017</v>
      </c>
      <c r="L124" s="120" t="str">
        <f>HYPERLINK("http://services.igi-global.com/resolvedoi/resolve.aspx?doi=10.4018/978-1-52252-069-6")</f>
        <v>http://services.igi-global.com/resolvedoi/resolve.aspx?doi=10.4018/978-1-52252-069-6</v>
      </c>
    </row>
    <row r="125" spans="1:12">
      <c r="A125" s="90">
        <v>131</v>
      </c>
      <c r="B125" s="90" t="s">
        <v>5071</v>
      </c>
      <c r="C125" s="90" t="s">
        <v>7478</v>
      </c>
      <c r="D125" s="90">
        <v>9781522521853</v>
      </c>
      <c r="E125" s="90">
        <v>9781522521846</v>
      </c>
      <c r="F125" s="90" t="s">
        <v>7481</v>
      </c>
      <c r="G125" s="90">
        <v>1</v>
      </c>
      <c r="H125" s="90" t="s">
        <v>6518</v>
      </c>
      <c r="I125" s="90" t="s">
        <v>6829</v>
      </c>
      <c r="J125" s="90" t="s">
        <v>569</v>
      </c>
      <c r="K125" s="90">
        <v>2018</v>
      </c>
      <c r="L125" s="120" t="str">
        <f>HYPERLINK("http://services.igi-global.com/resolvedoi/resolve.aspx?doi=10.4018/978-1-52252-184-6")</f>
        <v>http://services.igi-global.com/resolvedoi/resolve.aspx?doi=10.4018/978-1-52252-184-6</v>
      </c>
    </row>
    <row r="126" spans="1:12" ht="16.2">
      <c r="A126" s="90">
        <v>5</v>
      </c>
      <c r="B126" s="90" t="s">
        <v>5071</v>
      </c>
      <c r="C126" s="90" t="s">
        <v>7478</v>
      </c>
      <c r="D126" s="90" t="s">
        <v>6873</v>
      </c>
      <c r="E126" s="90" t="s">
        <v>6874</v>
      </c>
      <c r="F126" s="90" t="s">
        <v>6875</v>
      </c>
      <c r="G126" s="90">
        <v>1</v>
      </c>
      <c r="H126" s="90" t="s">
        <v>6518</v>
      </c>
      <c r="I126" s="90" t="s">
        <v>6876</v>
      </c>
      <c r="J126" s="90" t="s">
        <v>569</v>
      </c>
      <c r="K126" s="90" t="s">
        <v>6856</v>
      </c>
      <c r="L126" s="127" t="s">
        <v>6877</v>
      </c>
    </row>
    <row r="127" spans="1:12" ht="16.2">
      <c r="A127" s="90">
        <v>6</v>
      </c>
      <c r="B127" s="90" t="s">
        <v>5071</v>
      </c>
      <c r="C127" s="90" t="s">
        <v>7478</v>
      </c>
      <c r="D127" s="90" t="s">
        <v>6878</v>
      </c>
      <c r="E127" s="90" t="s">
        <v>6879</v>
      </c>
      <c r="F127" s="90" t="s">
        <v>6880</v>
      </c>
      <c r="G127" s="90">
        <v>1</v>
      </c>
      <c r="H127" s="90" t="s">
        <v>6518</v>
      </c>
      <c r="I127" s="90" t="s">
        <v>6881</v>
      </c>
      <c r="J127" s="90" t="s">
        <v>569</v>
      </c>
      <c r="K127" s="90" t="s">
        <v>6856</v>
      </c>
      <c r="L127" s="127" t="s">
        <v>6882</v>
      </c>
    </row>
    <row r="128" spans="1:12" ht="16.2">
      <c r="A128" s="90">
        <v>7</v>
      </c>
      <c r="B128" s="90" t="s">
        <v>5071</v>
      </c>
      <c r="C128" s="90" t="s">
        <v>7478</v>
      </c>
      <c r="D128" s="90" t="s">
        <v>6883</v>
      </c>
      <c r="E128" s="90" t="s">
        <v>6884</v>
      </c>
      <c r="F128" s="90" t="s">
        <v>6885</v>
      </c>
      <c r="G128" s="90">
        <v>1</v>
      </c>
      <c r="H128" s="90" t="s">
        <v>6518</v>
      </c>
      <c r="I128" s="90" t="s">
        <v>2848</v>
      </c>
      <c r="J128" s="90" t="s">
        <v>569</v>
      </c>
      <c r="K128" s="90" t="s">
        <v>6886</v>
      </c>
      <c r="L128" s="127" t="s">
        <v>6887</v>
      </c>
    </row>
    <row r="129" spans="1:12" ht="16.2">
      <c r="A129" s="90">
        <v>8</v>
      </c>
      <c r="B129" s="90" t="s">
        <v>5071</v>
      </c>
      <c r="C129" s="90" t="s">
        <v>7478</v>
      </c>
      <c r="D129" s="90" t="s">
        <v>6888</v>
      </c>
      <c r="E129" s="90" t="s">
        <v>6889</v>
      </c>
      <c r="F129" s="90" t="s">
        <v>6890</v>
      </c>
      <c r="G129" s="90">
        <v>1</v>
      </c>
      <c r="H129" s="90" t="s">
        <v>6518</v>
      </c>
      <c r="I129" s="90" t="s">
        <v>6891</v>
      </c>
      <c r="J129" s="90" t="s">
        <v>569</v>
      </c>
      <c r="K129" s="90" t="s">
        <v>6871</v>
      </c>
      <c r="L129" s="127" t="s">
        <v>6892</v>
      </c>
    </row>
    <row r="130" spans="1:12">
      <c r="A130" s="90">
        <v>150</v>
      </c>
      <c r="B130" s="90" t="s">
        <v>5071</v>
      </c>
      <c r="C130" s="90" t="s">
        <v>7482</v>
      </c>
      <c r="D130" s="90">
        <v>9781466619104</v>
      </c>
      <c r="E130" s="90">
        <v>9781466619098</v>
      </c>
      <c r="F130" s="90" t="s">
        <v>6517</v>
      </c>
      <c r="G130" s="90">
        <v>1</v>
      </c>
      <c r="H130" s="90" t="s">
        <v>6518</v>
      </c>
      <c r="I130" s="90" t="s">
        <v>6519</v>
      </c>
      <c r="J130" s="90" t="s">
        <v>569</v>
      </c>
      <c r="K130" s="90">
        <v>2013</v>
      </c>
      <c r="L130" s="120" t="str">
        <f>HYPERLINK("http://services.igi-global.com/resolvedoi/resolve.aspx?doi=10.4018/978-1-46661-909-8")</f>
        <v>http://services.igi-global.com/resolvedoi/resolve.aspx?doi=10.4018/978-1-46661-909-8</v>
      </c>
    </row>
    <row r="131" spans="1:12">
      <c r="A131" s="90">
        <v>187</v>
      </c>
      <c r="B131" s="90" t="s">
        <v>5071</v>
      </c>
      <c r="C131" s="90" t="s">
        <v>7482</v>
      </c>
      <c r="D131" s="90">
        <v>9781466660632</v>
      </c>
      <c r="E131" s="90">
        <v>9781466660625</v>
      </c>
      <c r="F131" s="90" t="s">
        <v>6541</v>
      </c>
      <c r="G131" s="90">
        <v>1</v>
      </c>
      <c r="H131" s="90" t="s">
        <v>6518</v>
      </c>
      <c r="I131" s="90" t="s">
        <v>6542</v>
      </c>
      <c r="J131" s="90" t="s">
        <v>569</v>
      </c>
      <c r="K131" s="90">
        <v>2014</v>
      </c>
      <c r="L131" s="120" t="str">
        <f>HYPERLINK("http://services.igi-global.com/resolvedoi/resolve.aspx?doi=10.4018/978-1-46666-062-5")</f>
        <v>http://services.igi-global.com/resolvedoi/resolve.aspx?doi=10.4018/978-1-46666-062-5</v>
      </c>
    </row>
    <row r="132" spans="1:12">
      <c r="A132" s="90">
        <v>149</v>
      </c>
      <c r="B132" s="90" t="s">
        <v>5071</v>
      </c>
      <c r="C132" s="90" t="s">
        <v>7482</v>
      </c>
      <c r="D132" s="90">
        <v>9781466661073</v>
      </c>
      <c r="E132" s="90">
        <v>9781466661066</v>
      </c>
      <c r="F132" s="90" t="s">
        <v>6543</v>
      </c>
      <c r="G132" s="90">
        <v>1</v>
      </c>
      <c r="H132" s="90" t="s">
        <v>6518</v>
      </c>
      <c r="I132" s="90" t="s">
        <v>6544</v>
      </c>
      <c r="J132" s="90" t="s">
        <v>569</v>
      </c>
      <c r="K132" s="90">
        <v>2014</v>
      </c>
      <c r="L132" s="120" t="str">
        <f>HYPERLINK("http://services.igi-global.com/resolvedoi/resolve.aspx?doi=10.4018/978-1-46666-106-6")</f>
        <v>http://services.igi-global.com/resolvedoi/resolve.aspx?doi=10.4018/978-1-46666-106-6</v>
      </c>
    </row>
    <row r="133" spans="1:12" ht="16.2">
      <c r="A133" s="90">
        <v>9</v>
      </c>
      <c r="B133" s="90" t="s">
        <v>5071</v>
      </c>
      <c r="C133" s="90" t="s">
        <v>7482</v>
      </c>
      <c r="D133" s="90" t="s">
        <v>6893</v>
      </c>
      <c r="E133" s="90" t="s">
        <v>6894</v>
      </c>
      <c r="F133" s="90" t="s">
        <v>6895</v>
      </c>
      <c r="G133" s="90">
        <v>1</v>
      </c>
      <c r="H133" s="90" t="s">
        <v>6518</v>
      </c>
      <c r="I133" s="90" t="s">
        <v>6896</v>
      </c>
      <c r="J133" s="90" t="s">
        <v>569</v>
      </c>
      <c r="K133" s="90" t="s">
        <v>6856</v>
      </c>
      <c r="L133" s="127" t="s">
        <v>6897</v>
      </c>
    </row>
    <row r="134" spans="1:12">
      <c r="A134" s="90">
        <v>107</v>
      </c>
      <c r="B134" s="90" t="s">
        <v>5071</v>
      </c>
      <c r="C134" s="90" t="s">
        <v>7483</v>
      </c>
      <c r="D134" s="90">
        <v>9781522509608</v>
      </c>
      <c r="E134" s="90">
        <v>9781522509592</v>
      </c>
      <c r="F134" s="90" t="s">
        <v>6709</v>
      </c>
      <c r="G134" s="90">
        <v>1</v>
      </c>
      <c r="H134" s="90" t="s">
        <v>6518</v>
      </c>
      <c r="I134" s="90" t="s">
        <v>6710</v>
      </c>
      <c r="J134" s="90" t="s">
        <v>568</v>
      </c>
      <c r="K134" s="90">
        <v>2017</v>
      </c>
      <c r="L134" s="120" t="str">
        <f>HYPERLINK("http://services.igi-global.com/resolvedoi/resolve.aspx?doi=10.4018/978-1-52250-959-2")</f>
        <v>http://services.igi-global.com/resolvedoi/resolve.aspx?doi=10.4018/978-1-52250-959-2</v>
      </c>
    </row>
    <row r="135" spans="1:12">
      <c r="A135" s="90">
        <v>102</v>
      </c>
      <c r="B135" s="90" t="s">
        <v>5071</v>
      </c>
      <c r="C135" s="90" t="s">
        <v>7483</v>
      </c>
      <c r="D135" s="90">
        <v>9781522518273</v>
      </c>
      <c r="E135" s="90">
        <v>9781522518266</v>
      </c>
      <c r="F135" s="90" t="s">
        <v>6765</v>
      </c>
      <c r="G135" s="90">
        <v>1</v>
      </c>
      <c r="H135" s="90" t="s">
        <v>6518</v>
      </c>
      <c r="I135" s="90" t="s">
        <v>6766</v>
      </c>
      <c r="J135" s="90" t="s">
        <v>568</v>
      </c>
      <c r="K135" s="90">
        <v>2017</v>
      </c>
      <c r="L135" s="120" t="str">
        <f>HYPERLINK("http://services.igi-global.com/resolvedoi/resolve.aspx?doi=10.4018/978-1-52251-826-6")</f>
        <v>http://services.igi-global.com/resolvedoi/resolve.aspx?doi=10.4018/978-1-52251-826-6</v>
      </c>
    </row>
    <row r="136" spans="1:12">
      <c r="A136" s="90">
        <v>98</v>
      </c>
      <c r="B136" s="90" t="s">
        <v>5071</v>
      </c>
      <c r="C136" s="90" t="s">
        <v>7483</v>
      </c>
      <c r="D136" s="90">
        <v>9781522520795</v>
      </c>
      <c r="E136" s="90">
        <v>9781522520788</v>
      </c>
      <c r="F136" s="90" t="s">
        <v>6816</v>
      </c>
      <c r="G136" s="90">
        <v>1</v>
      </c>
      <c r="H136" s="90" t="s">
        <v>6518</v>
      </c>
      <c r="I136" s="90" t="s">
        <v>7484</v>
      </c>
      <c r="J136" s="90" t="s">
        <v>568</v>
      </c>
      <c r="K136" s="90">
        <v>2017</v>
      </c>
      <c r="L136" s="120" t="str">
        <f>HYPERLINK("http://services.igi-global.com/resolvedoi/resolve.aspx?doi=10.4018/978-1-52252-078-8")</f>
        <v>http://services.igi-global.com/resolvedoi/resolve.aspx?doi=10.4018/978-1-52252-078-8</v>
      </c>
    </row>
    <row r="137" spans="1:12" ht="16.2">
      <c r="A137" s="90">
        <v>1</v>
      </c>
      <c r="B137" s="90" t="s">
        <v>5071</v>
      </c>
      <c r="C137" s="90" t="s">
        <v>7483</v>
      </c>
      <c r="D137" s="90" t="s">
        <v>6852</v>
      </c>
      <c r="E137" s="90" t="s">
        <v>6853</v>
      </c>
      <c r="F137" s="90" t="s">
        <v>6854</v>
      </c>
      <c r="G137" s="90">
        <v>1</v>
      </c>
      <c r="H137" s="90" t="s">
        <v>6518</v>
      </c>
      <c r="I137" s="90" t="s">
        <v>6855</v>
      </c>
      <c r="J137" s="90" t="s">
        <v>568</v>
      </c>
      <c r="K137" s="90" t="s">
        <v>6856</v>
      </c>
      <c r="L137" s="127" t="s">
        <v>6857</v>
      </c>
    </row>
    <row r="138" spans="1:12">
      <c r="A138" s="90">
        <v>189</v>
      </c>
      <c r="B138" s="90" t="s">
        <v>5071</v>
      </c>
      <c r="C138" s="90" t="s">
        <v>7485</v>
      </c>
      <c r="D138" s="90">
        <v>9781466650329</v>
      </c>
      <c r="E138" s="90">
        <v>9781466650312</v>
      </c>
      <c r="F138" s="90" t="s">
        <v>6532</v>
      </c>
      <c r="G138" s="90">
        <v>1</v>
      </c>
      <c r="H138" s="90" t="s">
        <v>6518</v>
      </c>
      <c r="I138" s="90" t="s">
        <v>6533</v>
      </c>
      <c r="J138" s="90" t="s">
        <v>569</v>
      </c>
      <c r="K138" s="90">
        <v>2014</v>
      </c>
      <c r="L138" s="120" t="str">
        <f>HYPERLINK("http://services.igi-global.com/resolvedoi/resolve.aspx?doi=10.4018/978-1-46665-031-2")</f>
        <v>http://services.igi-global.com/resolvedoi/resolve.aspx?doi=10.4018/978-1-46665-031-2</v>
      </c>
    </row>
    <row r="139" spans="1:12">
      <c r="A139" s="90">
        <v>188</v>
      </c>
      <c r="B139" s="90" t="s">
        <v>5071</v>
      </c>
      <c r="C139" s="90" t="s">
        <v>7485</v>
      </c>
      <c r="D139" s="90">
        <v>9781466659551</v>
      </c>
      <c r="E139" s="90">
        <v>9781466659544</v>
      </c>
      <c r="F139" s="90" t="s">
        <v>6534</v>
      </c>
      <c r="G139" s="90">
        <v>1</v>
      </c>
      <c r="H139" s="90" t="s">
        <v>6518</v>
      </c>
      <c r="I139" s="90" t="s">
        <v>6535</v>
      </c>
      <c r="J139" s="90" t="s">
        <v>569</v>
      </c>
      <c r="K139" s="90">
        <v>2014</v>
      </c>
      <c r="L139" s="120" t="str">
        <f>HYPERLINK("http://services.igi-global.com/resolvedoi/resolve.aspx?doi=10.4018/978-1-46665-954-4")</f>
        <v>http://services.igi-global.com/resolvedoi/resolve.aspx?doi=10.4018/978-1-46665-954-4</v>
      </c>
    </row>
    <row r="140" spans="1:12">
      <c r="A140" s="90">
        <v>186</v>
      </c>
      <c r="B140" s="90" t="s">
        <v>5071</v>
      </c>
      <c r="C140" s="90" t="s">
        <v>7485</v>
      </c>
      <c r="D140" s="90">
        <v>9781466686120</v>
      </c>
      <c r="E140" s="90">
        <v>9781466686113</v>
      </c>
      <c r="F140" s="90" t="s">
        <v>6562</v>
      </c>
      <c r="G140" s="90">
        <v>1</v>
      </c>
      <c r="H140" s="90" t="s">
        <v>6518</v>
      </c>
      <c r="I140" s="90" t="s">
        <v>6563</v>
      </c>
      <c r="J140" s="90" t="s">
        <v>569</v>
      </c>
      <c r="K140" s="90">
        <v>2015</v>
      </c>
      <c r="L140" s="120" t="str">
        <f>HYPERLINK("http://services.igi-global.com/resolvedoi/resolve.aspx?doi=10.4018/978-1-46668-611-3")</f>
        <v>http://services.igi-global.com/resolvedoi/resolve.aspx?doi=10.4018/978-1-46668-611-3</v>
      </c>
    </row>
    <row r="141" spans="1:12">
      <c r="A141" s="90">
        <v>184</v>
      </c>
      <c r="B141" s="90" t="s">
        <v>5071</v>
      </c>
      <c r="C141" s="90" t="s">
        <v>7485</v>
      </c>
      <c r="D141" s="90">
        <v>9781466699007</v>
      </c>
      <c r="E141" s="90">
        <v>9781466698994</v>
      </c>
      <c r="F141" s="90" t="s">
        <v>6585</v>
      </c>
      <c r="G141" s="90">
        <v>1</v>
      </c>
      <c r="H141" s="90" t="s">
        <v>6518</v>
      </c>
      <c r="I141" s="90" t="s">
        <v>6586</v>
      </c>
      <c r="J141" s="90" t="s">
        <v>569</v>
      </c>
      <c r="K141" s="90">
        <v>2016</v>
      </c>
      <c r="L141" s="120" t="str">
        <f>HYPERLINK("http://services.igi-global.com/resolvedoi/resolve.aspx?doi=10.4018/978-1-46669-899-4")</f>
        <v>http://services.igi-global.com/resolvedoi/resolve.aspx?doi=10.4018/978-1-46669-899-4</v>
      </c>
    </row>
    <row r="142" spans="1:12">
      <c r="A142" s="90">
        <v>185</v>
      </c>
      <c r="B142" s="90" t="s">
        <v>5071</v>
      </c>
      <c r="C142" s="90" t="s">
        <v>7485</v>
      </c>
      <c r="D142" s="90">
        <v>9781466699397</v>
      </c>
      <c r="E142" s="90">
        <v>9781466699380</v>
      </c>
      <c r="F142" s="90" t="s">
        <v>6591</v>
      </c>
      <c r="G142" s="90">
        <v>1</v>
      </c>
      <c r="H142" s="90" t="s">
        <v>6518</v>
      </c>
      <c r="I142" s="90" t="s">
        <v>6592</v>
      </c>
      <c r="J142" s="90" t="s">
        <v>569</v>
      </c>
      <c r="K142" s="90">
        <v>2016</v>
      </c>
      <c r="L142" s="120" t="str">
        <f>HYPERLINK("http://services.igi-global.com/resolvedoi/resolve.aspx?doi=10.4018/978-1-46669-938-0")</f>
        <v>http://services.igi-global.com/resolvedoi/resolve.aspx?doi=10.4018/978-1-46669-938-0</v>
      </c>
    </row>
    <row r="143" spans="1:12">
      <c r="A143" s="90">
        <v>183</v>
      </c>
      <c r="B143" s="90" t="s">
        <v>5071</v>
      </c>
      <c r="C143" s="90" t="s">
        <v>7485</v>
      </c>
      <c r="D143" s="90">
        <v>9781522500117</v>
      </c>
      <c r="E143" s="90">
        <v>9781522500100</v>
      </c>
      <c r="F143" s="90" t="s">
        <v>6598</v>
      </c>
      <c r="G143" s="90">
        <v>1</v>
      </c>
      <c r="H143" s="90" t="s">
        <v>6518</v>
      </c>
      <c r="I143" s="90" t="s">
        <v>6599</v>
      </c>
      <c r="J143" s="90" t="s">
        <v>569</v>
      </c>
      <c r="K143" s="90">
        <v>2016</v>
      </c>
      <c r="L143" s="120" t="str">
        <f>HYPERLINK("http://services.igi-global.com/resolvedoi/resolve.aspx?doi=10.4018/978-1-52250-010-0")</f>
        <v>http://services.igi-global.com/resolvedoi/resolve.aspx?doi=10.4018/978-1-52250-010-0</v>
      </c>
    </row>
    <row r="144" spans="1:12">
      <c r="A144" s="90">
        <v>182</v>
      </c>
      <c r="B144" s="90" t="s">
        <v>5071</v>
      </c>
      <c r="C144" s="90" t="s">
        <v>7485</v>
      </c>
      <c r="D144" s="90">
        <v>9781522501886</v>
      </c>
      <c r="E144" s="90">
        <v>9781522501879</v>
      </c>
      <c r="F144" s="90" t="s">
        <v>6602</v>
      </c>
      <c r="G144" s="90">
        <v>1</v>
      </c>
      <c r="H144" s="90" t="s">
        <v>6518</v>
      </c>
      <c r="I144" s="90" t="s">
        <v>6603</v>
      </c>
      <c r="J144" s="90" t="s">
        <v>569</v>
      </c>
      <c r="K144" s="90">
        <v>2016</v>
      </c>
      <c r="L144" s="120" t="str">
        <f>HYPERLINK("http://services.igi-global.com/resolvedoi/resolve.aspx?doi=10.4018/978-1-52250-187-9")</f>
        <v>http://services.igi-global.com/resolvedoi/resolve.aspx?doi=10.4018/978-1-52250-187-9</v>
      </c>
    </row>
    <row r="145" spans="1:12">
      <c r="A145" s="90">
        <v>181</v>
      </c>
      <c r="B145" s="90" t="s">
        <v>5071</v>
      </c>
      <c r="C145" s="90" t="s">
        <v>7485</v>
      </c>
      <c r="D145" s="90">
        <v>9781522507246</v>
      </c>
      <c r="E145" s="90">
        <v>9781522507239</v>
      </c>
      <c r="F145" s="90" t="s">
        <v>6665</v>
      </c>
      <c r="G145" s="90">
        <v>1</v>
      </c>
      <c r="H145" s="90" t="s">
        <v>6518</v>
      </c>
      <c r="I145" s="90" t="s">
        <v>6666</v>
      </c>
      <c r="J145" s="90" t="s">
        <v>569</v>
      </c>
      <c r="K145" s="90">
        <v>2017</v>
      </c>
      <c r="L145" s="120" t="str">
        <f>HYPERLINK("http://services.igi-global.com/resolvedoi/resolve.aspx?doi=10.4018/978-1-52250-723-9")</f>
        <v>http://services.igi-global.com/resolvedoi/resolve.aspx?doi=10.4018/978-1-52250-723-9</v>
      </c>
    </row>
    <row r="146" spans="1:12">
      <c r="A146" s="90">
        <v>180</v>
      </c>
      <c r="B146" s="90" t="s">
        <v>5071</v>
      </c>
      <c r="C146" s="90" t="s">
        <v>7485</v>
      </c>
      <c r="D146" s="90">
        <v>9781522517283</v>
      </c>
      <c r="E146" s="90">
        <v>9781522517276</v>
      </c>
      <c r="F146" s="90" t="s">
        <v>6751</v>
      </c>
      <c r="G146" s="90">
        <v>1</v>
      </c>
      <c r="H146" s="90" t="s">
        <v>6518</v>
      </c>
      <c r="I146" s="90" t="s">
        <v>6752</v>
      </c>
      <c r="J146" s="90" t="s">
        <v>569</v>
      </c>
      <c r="K146" s="90">
        <v>2017</v>
      </c>
      <c r="L146" s="120" t="str">
        <f>HYPERLINK("http://services.igi-global.com/resolvedoi/resolve.aspx?doi=10.4018/978-1-52251-727-6")</f>
        <v>http://services.igi-global.com/resolvedoi/resolve.aspx?doi=10.4018/978-1-52251-727-6</v>
      </c>
    </row>
    <row r="147" spans="1:12">
      <c r="A147" s="90">
        <v>179</v>
      </c>
      <c r="B147" s="90" t="s">
        <v>5071</v>
      </c>
      <c r="C147" s="90" t="s">
        <v>7485</v>
      </c>
      <c r="D147" s="90">
        <v>9781522518891</v>
      </c>
      <c r="E147" s="90">
        <v>9781522518884</v>
      </c>
      <c r="F147" s="90" t="s">
        <v>6779</v>
      </c>
      <c r="G147" s="90">
        <v>1</v>
      </c>
      <c r="H147" s="90" t="s">
        <v>6518</v>
      </c>
      <c r="I147" s="90" t="s">
        <v>6780</v>
      </c>
      <c r="J147" s="90" t="s">
        <v>569</v>
      </c>
      <c r="K147" s="90">
        <v>2017</v>
      </c>
      <c r="L147" s="120" t="str">
        <f>HYPERLINK("http://services.igi-global.com/resolvedoi/resolve.aspx?doi=10.4018/978-1-52251-888-4")</f>
        <v>http://services.igi-global.com/resolvedoi/resolve.aspx?doi=10.4018/978-1-52251-888-4</v>
      </c>
    </row>
    <row r="148" spans="1:12">
      <c r="A148" s="90">
        <v>178</v>
      </c>
      <c r="B148" s="90" t="s">
        <v>5071</v>
      </c>
      <c r="C148" s="90" t="s">
        <v>7485</v>
      </c>
      <c r="D148" s="90">
        <v>9781522522102</v>
      </c>
      <c r="E148" s="90">
        <v>9781522522096</v>
      </c>
      <c r="F148" s="90" t="s">
        <v>6835</v>
      </c>
      <c r="G148" s="90">
        <v>1</v>
      </c>
      <c r="H148" s="90" t="s">
        <v>6518</v>
      </c>
      <c r="I148" s="90" t="s">
        <v>6836</v>
      </c>
      <c r="J148" s="90" t="s">
        <v>569</v>
      </c>
      <c r="K148" s="90">
        <v>2017</v>
      </c>
      <c r="L148" s="120" t="str">
        <f>HYPERLINK("http://services.igi-global.com/resolvedoi/resolve.aspx?doi=10.4018/978-1-52252-209-6")</f>
        <v>http://services.igi-global.com/resolvedoi/resolve.aspx?doi=10.4018/978-1-52252-209-6</v>
      </c>
    </row>
    <row r="149" spans="1:12">
      <c r="A149" s="90">
        <v>177</v>
      </c>
      <c r="B149" s="90" t="s">
        <v>5071</v>
      </c>
      <c r="C149" s="90" t="s">
        <v>7485</v>
      </c>
      <c r="D149" s="90">
        <v>9781522522256</v>
      </c>
      <c r="E149" s="90">
        <v>9781522522249</v>
      </c>
      <c r="F149" s="90" t="s">
        <v>6837</v>
      </c>
      <c r="G149" s="90">
        <v>1</v>
      </c>
      <c r="H149" s="90" t="s">
        <v>6518</v>
      </c>
      <c r="I149" s="90" t="s">
        <v>6838</v>
      </c>
      <c r="J149" s="90" t="s">
        <v>569</v>
      </c>
      <c r="K149" s="90">
        <v>2017</v>
      </c>
      <c r="L149" s="120" t="str">
        <f>HYPERLINK("http://services.igi-global.com/resolvedoi/resolve.aspx?doi=10.4018/978-1-52252-224-9")</f>
        <v>http://services.igi-global.com/resolvedoi/resolve.aspx?doi=10.4018/978-1-52252-224-9</v>
      </c>
    </row>
    <row r="150" spans="1:12" ht="16.2">
      <c r="A150" s="90">
        <v>11</v>
      </c>
      <c r="B150" s="90" t="s">
        <v>5071</v>
      </c>
      <c r="C150" s="90" t="s">
        <v>7485</v>
      </c>
      <c r="D150" s="90" t="s">
        <v>6902</v>
      </c>
      <c r="E150" s="90" t="s">
        <v>6903</v>
      </c>
      <c r="F150" s="90" t="s">
        <v>6904</v>
      </c>
      <c r="G150" s="90">
        <v>1</v>
      </c>
      <c r="H150" s="90" t="s">
        <v>6518</v>
      </c>
      <c r="I150" s="90" t="s">
        <v>6905</v>
      </c>
      <c r="J150" s="90" t="s">
        <v>569</v>
      </c>
      <c r="K150" s="90" t="s">
        <v>6886</v>
      </c>
      <c r="L150" s="127" t="s">
        <v>6906</v>
      </c>
    </row>
    <row r="151" spans="1:12" ht="16.2">
      <c r="A151" s="90">
        <v>12</v>
      </c>
      <c r="B151" s="90" t="s">
        <v>5071</v>
      </c>
      <c r="C151" s="90" t="s">
        <v>7485</v>
      </c>
      <c r="D151" s="90" t="s">
        <v>6907</v>
      </c>
      <c r="E151" s="90" t="s">
        <v>6908</v>
      </c>
      <c r="F151" s="90" t="s">
        <v>6909</v>
      </c>
      <c r="G151" s="90">
        <v>1</v>
      </c>
      <c r="H151" s="90" t="s">
        <v>6518</v>
      </c>
      <c r="I151" s="90" t="s">
        <v>6910</v>
      </c>
      <c r="J151" s="90" t="s">
        <v>568</v>
      </c>
      <c r="K151" s="90" t="s">
        <v>6886</v>
      </c>
      <c r="L151" s="127" t="s">
        <v>6911</v>
      </c>
    </row>
    <row r="152" spans="1:12">
      <c r="A152" s="90">
        <v>176</v>
      </c>
      <c r="B152" s="90" t="s">
        <v>5071</v>
      </c>
      <c r="C152" s="90" t="s">
        <v>7486</v>
      </c>
      <c r="D152" s="90">
        <v>9781466640559</v>
      </c>
      <c r="E152" s="90">
        <v>9781466640542</v>
      </c>
      <c r="F152" s="90" t="s">
        <v>6526</v>
      </c>
      <c r="G152" s="90">
        <v>1</v>
      </c>
      <c r="H152" s="90" t="s">
        <v>6518</v>
      </c>
      <c r="I152" s="90" t="s">
        <v>7487</v>
      </c>
      <c r="J152" s="90" t="s">
        <v>569</v>
      </c>
      <c r="K152" s="90">
        <v>2013</v>
      </c>
      <c r="L152" s="120" t="str">
        <f>HYPERLINK("http://services.igi-global.com/resolvedoi/resolve.aspx?doi=10.4018/978-1-46664-054-2")</f>
        <v>http://services.igi-global.com/resolvedoi/resolve.aspx?doi=10.4018/978-1-46664-054-2</v>
      </c>
    </row>
    <row r="153" spans="1:12">
      <c r="A153" s="90">
        <v>175</v>
      </c>
      <c r="B153" s="90" t="s">
        <v>5071</v>
      </c>
      <c r="C153" s="90" t="s">
        <v>7486</v>
      </c>
      <c r="D153" s="90">
        <v>9781466682528</v>
      </c>
      <c r="E153" s="90">
        <v>9781466682511</v>
      </c>
      <c r="F153" s="90" t="s">
        <v>6549</v>
      </c>
      <c r="G153" s="90">
        <v>1</v>
      </c>
      <c r="H153" s="90" t="s">
        <v>6518</v>
      </c>
      <c r="I153" s="90" t="s">
        <v>6550</v>
      </c>
      <c r="J153" s="90" t="s">
        <v>569</v>
      </c>
      <c r="K153" s="90">
        <v>2015</v>
      </c>
      <c r="L153" s="120" t="str">
        <f>HYPERLINK("http://services.igi-global.com/resolvedoi/resolve.aspx?doi=10.4018/978-1-46668-251-1")</f>
        <v>http://services.igi-global.com/resolvedoi/resolve.aspx?doi=10.4018/978-1-46668-251-1</v>
      </c>
    </row>
    <row r="154" spans="1:12">
      <c r="A154" s="90">
        <v>174</v>
      </c>
      <c r="B154" s="90" t="s">
        <v>5071</v>
      </c>
      <c r="C154" s="90" t="s">
        <v>7486</v>
      </c>
      <c r="D154" s="90">
        <v>9781466697294</v>
      </c>
      <c r="E154" s="90">
        <v>9781466697287</v>
      </c>
      <c r="F154" s="90" t="s">
        <v>6579</v>
      </c>
      <c r="G154" s="90">
        <v>1</v>
      </c>
      <c r="H154" s="90" t="s">
        <v>6518</v>
      </c>
      <c r="I154" s="90" t="s">
        <v>6580</v>
      </c>
      <c r="J154" s="90" t="s">
        <v>569</v>
      </c>
      <c r="K154" s="90">
        <v>2016</v>
      </c>
      <c r="L154" s="120" t="str">
        <f>HYPERLINK("http://services.igi-global.com/resolvedoi/resolve.aspx?doi=10.4018/978-1-46669-728-7")</f>
        <v>http://services.igi-global.com/resolvedoi/resolve.aspx?doi=10.4018/978-1-46669-728-7</v>
      </c>
    </row>
    <row r="155" spans="1:12">
      <c r="A155" s="90">
        <v>173</v>
      </c>
      <c r="B155" s="90" t="s">
        <v>5071</v>
      </c>
      <c r="C155" s="90" t="s">
        <v>7486</v>
      </c>
      <c r="D155" s="90">
        <v>9781466699687</v>
      </c>
      <c r="E155" s="90">
        <v>9781466699670</v>
      </c>
      <c r="F155" s="90" t="s">
        <v>6595</v>
      </c>
      <c r="G155" s="90">
        <v>1</v>
      </c>
      <c r="H155" s="90" t="s">
        <v>6518</v>
      </c>
      <c r="I155" s="90" t="s">
        <v>6596</v>
      </c>
      <c r="J155" s="90" t="s">
        <v>569</v>
      </c>
      <c r="K155" s="90">
        <v>2016</v>
      </c>
      <c r="L155" s="120" t="str">
        <f>HYPERLINK("http://services.igi-global.com/resolvedoi/resolve.aspx?doi=10.4018/978-1-46669-967-0")</f>
        <v>http://services.igi-global.com/resolvedoi/resolve.aspx?doi=10.4018/978-1-46669-967-0</v>
      </c>
    </row>
    <row r="156" spans="1:12">
      <c r="A156" s="90">
        <v>172</v>
      </c>
      <c r="B156" s="90" t="s">
        <v>5071</v>
      </c>
      <c r="C156" s="90" t="s">
        <v>7486</v>
      </c>
      <c r="D156" s="90">
        <v>9781522502463</v>
      </c>
      <c r="E156" s="90">
        <v>9781522502456</v>
      </c>
      <c r="F156" s="90" t="s">
        <v>6608</v>
      </c>
      <c r="G156" s="90">
        <v>1</v>
      </c>
      <c r="H156" s="90" t="s">
        <v>6518</v>
      </c>
      <c r="I156" s="90" t="s">
        <v>6609</v>
      </c>
      <c r="J156" s="90" t="s">
        <v>569</v>
      </c>
      <c r="K156" s="90">
        <v>2016</v>
      </c>
      <c r="L156" s="120" t="str">
        <f>HYPERLINK("http://services.igi-global.com/resolvedoi/resolve.aspx?doi=10.4018/978-1-52250-245-6")</f>
        <v>http://services.igi-global.com/resolvedoi/resolve.aspx?doi=10.4018/978-1-52250-245-6</v>
      </c>
    </row>
    <row r="157" spans="1:12">
      <c r="A157" s="90">
        <v>170</v>
      </c>
      <c r="B157" s="90" t="s">
        <v>5071</v>
      </c>
      <c r="C157" s="90" t="s">
        <v>7486</v>
      </c>
      <c r="D157" s="90">
        <v>9781522503392</v>
      </c>
      <c r="E157" s="90">
        <v>9781522503385</v>
      </c>
      <c r="F157" s="90" t="s">
        <v>6619</v>
      </c>
      <c r="G157" s="90">
        <v>1</v>
      </c>
      <c r="H157" s="90" t="s">
        <v>6518</v>
      </c>
      <c r="I157" s="90" t="s">
        <v>3804</v>
      </c>
      <c r="J157" s="90" t="s">
        <v>569</v>
      </c>
      <c r="K157" s="90">
        <v>2016</v>
      </c>
      <c r="L157" s="120" t="str">
        <f>HYPERLINK("http://services.igi-global.com/resolvedoi/resolve.aspx?doi=10.4018/978-1-52250-338-5")</f>
        <v>http://services.igi-global.com/resolvedoi/resolve.aspx?doi=10.4018/978-1-52250-338-5</v>
      </c>
    </row>
    <row r="158" spans="1:12">
      <c r="A158" s="90">
        <v>171</v>
      </c>
      <c r="B158" s="90" t="s">
        <v>5071</v>
      </c>
      <c r="C158" s="90" t="s">
        <v>7486</v>
      </c>
      <c r="D158" s="90">
        <v>9781522504788</v>
      </c>
      <c r="E158" s="90">
        <v>9781522504771</v>
      </c>
      <c r="F158" s="90" t="s">
        <v>6628</v>
      </c>
      <c r="G158" s="90">
        <v>1</v>
      </c>
      <c r="H158" s="90" t="s">
        <v>6518</v>
      </c>
      <c r="I158" s="90" t="s">
        <v>6629</v>
      </c>
      <c r="J158" s="90" t="s">
        <v>569</v>
      </c>
      <c r="K158" s="90">
        <v>2016</v>
      </c>
      <c r="L158" s="120" t="str">
        <f>HYPERLINK("http://services.igi-global.com/resolvedoi/resolve.aspx?doi=10.4018/978-1-52250-477-1")</f>
        <v>http://services.igi-global.com/resolvedoi/resolve.aspx?doi=10.4018/978-1-52250-477-1</v>
      </c>
    </row>
    <row r="159" spans="1:12">
      <c r="A159" s="90">
        <v>169</v>
      </c>
      <c r="B159" s="90" t="s">
        <v>5071</v>
      </c>
      <c r="C159" s="90" t="s">
        <v>7486</v>
      </c>
      <c r="D159" s="90">
        <v>9781522505471</v>
      </c>
      <c r="E159" s="90">
        <v>9781522505464</v>
      </c>
      <c r="F159" s="90" t="s">
        <v>6633</v>
      </c>
      <c r="G159" s="90">
        <v>1</v>
      </c>
      <c r="H159" s="90" t="s">
        <v>6518</v>
      </c>
      <c r="I159" s="90" t="s">
        <v>5603</v>
      </c>
      <c r="J159" s="90" t="s">
        <v>569</v>
      </c>
      <c r="K159" s="90">
        <v>2017</v>
      </c>
      <c r="L159" s="120" t="str">
        <f>HYPERLINK("http://services.igi-global.com/resolvedoi/resolve.aspx?doi=10.4018/978-1-52250-546-4")</f>
        <v>http://services.igi-global.com/resolvedoi/resolve.aspx?doi=10.4018/978-1-52250-546-4</v>
      </c>
    </row>
    <row r="160" spans="1:12">
      <c r="A160" s="90">
        <v>168</v>
      </c>
      <c r="B160" s="90" t="s">
        <v>5071</v>
      </c>
      <c r="C160" s="90" t="s">
        <v>7486</v>
      </c>
      <c r="D160" s="90">
        <v>9781522506492</v>
      </c>
      <c r="E160" s="90">
        <v>9781522506485</v>
      </c>
      <c r="F160" s="90" t="s">
        <v>6652</v>
      </c>
      <c r="G160" s="90">
        <v>1</v>
      </c>
      <c r="H160" s="90" t="s">
        <v>6518</v>
      </c>
      <c r="I160" s="90" t="s">
        <v>1069</v>
      </c>
      <c r="J160" s="90" t="s">
        <v>569</v>
      </c>
      <c r="K160" s="90">
        <v>2017</v>
      </c>
      <c r="L160" s="120" t="str">
        <f>HYPERLINK("http://services.igi-global.com/resolvedoi/resolve.aspx?doi=10.4018/978-1-52250-648-5")</f>
        <v>http://services.igi-global.com/resolvedoi/resolve.aspx?doi=10.4018/978-1-52250-648-5</v>
      </c>
    </row>
    <row r="161" spans="1:12">
      <c r="A161" s="90">
        <v>167</v>
      </c>
      <c r="B161" s="90" t="s">
        <v>5071</v>
      </c>
      <c r="C161" s="90" t="s">
        <v>7486</v>
      </c>
      <c r="D161" s="90">
        <v>9781522506676</v>
      </c>
      <c r="E161" s="90">
        <v>9781522506669</v>
      </c>
      <c r="F161" s="90" t="s">
        <v>6657</v>
      </c>
      <c r="G161" s="90">
        <v>1</v>
      </c>
      <c r="H161" s="90" t="s">
        <v>6518</v>
      </c>
      <c r="I161" s="90" t="s">
        <v>6658</v>
      </c>
      <c r="J161" s="90" t="s">
        <v>569</v>
      </c>
      <c r="K161" s="90">
        <v>2017</v>
      </c>
      <c r="L161" s="120" t="str">
        <f>HYPERLINK("http://services.igi-global.com/resolvedoi/resolve.aspx?doi=10.4018/978-1-52250-666-9")</f>
        <v>http://services.igi-global.com/resolvedoi/resolve.aspx?doi=10.4018/978-1-52250-666-9</v>
      </c>
    </row>
    <row r="162" spans="1:12">
      <c r="A162" s="90">
        <v>165</v>
      </c>
      <c r="B162" s="90" t="s">
        <v>5071</v>
      </c>
      <c r="C162" s="90" t="s">
        <v>7486</v>
      </c>
      <c r="D162" s="90">
        <v>9781522509462</v>
      </c>
      <c r="E162" s="90">
        <v>9781522509455</v>
      </c>
      <c r="F162" s="90" t="s">
        <v>6704</v>
      </c>
      <c r="G162" s="90">
        <v>1</v>
      </c>
      <c r="H162" s="90" t="s">
        <v>6518</v>
      </c>
      <c r="I162" s="90" t="s">
        <v>6705</v>
      </c>
      <c r="J162" s="90" t="s">
        <v>569</v>
      </c>
      <c r="K162" s="90">
        <v>2017</v>
      </c>
      <c r="L162" s="120" t="str">
        <f>HYPERLINK("http://services.igi-global.com/resolvedoi/resolve.aspx?doi=10.4018/978-1-52250-945-5")</f>
        <v>http://services.igi-global.com/resolvedoi/resolve.aspx?doi=10.4018/978-1-52250-945-5</v>
      </c>
    </row>
    <row r="163" spans="1:12">
      <c r="A163" s="90">
        <v>162</v>
      </c>
      <c r="B163" s="90" t="s">
        <v>5071</v>
      </c>
      <c r="C163" s="90" t="s">
        <v>7486</v>
      </c>
      <c r="D163" s="90">
        <v>9781522517139</v>
      </c>
      <c r="E163" s="90">
        <v>9781522517122</v>
      </c>
      <c r="F163" s="90" t="s">
        <v>6746</v>
      </c>
      <c r="G163" s="90">
        <v>1</v>
      </c>
      <c r="H163" s="90" t="s">
        <v>6518</v>
      </c>
      <c r="I163" s="90" t="s">
        <v>6466</v>
      </c>
      <c r="J163" s="90" t="s">
        <v>569</v>
      </c>
      <c r="K163" s="90">
        <v>2017</v>
      </c>
      <c r="L163" s="120" t="str">
        <f>HYPERLINK("http://services.igi-global.com/resolvedoi/resolve.aspx?doi=10.4018/978-1-52251-712-2")</f>
        <v>http://services.igi-global.com/resolvedoi/resolve.aspx?doi=10.4018/978-1-52251-712-2</v>
      </c>
    </row>
    <row r="164" spans="1:12">
      <c r="A164" s="90">
        <v>166</v>
      </c>
      <c r="B164" s="90" t="s">
        <v>5071</v>
      </c>
      <c r="C164" s="90" t="s">
        <v>7486</v>
      </c>
      <c r="D164" s="90">
        <v>9781522517450</v>
      </c>
      <c r="E164" s="90">
        <v>9781522517443</v>
      </c>
      <c r="F164" s="90" t="s">
        <v>6755</v>
      </c>
      <c r="G164" s="90">
        <v>1</v>
      </c>
      <c r="H164" s="90" t="s">
        <v>6518</v>
      </c>
      <c r="I164" s="90" t="s">
        <v>6756</v>
      </c>
      <c r="J164" s="90" t="s">
        <v>569</v>
      </c>
      <c r="K164" s="90">
        <v>2017</v>
      </c>
      <c r="L164" s="120" t="str">
        <f>HYPERLINK("http://services.igi-global.com/resolvedoi/resolve.aspx?doi=10.4018/978-1-52251-744-3")</f>
        <v>http://services.igi-global.com/resolvedoi/resolve.aspx?doi=10.4018/978-1-52251-744-3</v>
      </c>
    </row>
    <row r="165" spans="1:12">
      <c r="A165" s="90">
        <v>163</v>
      </c>
      <c r="B165" s="90" t="s">
        <v>5071</v>
      </c>
      <c r="C165" s="90" t="s">
        <v>7486</v>
      </c>
      <c r="D165" s="90">
        <v>9781522517511</v>
      </c>
      <c r="E165" s="90">
        <v>9781522517504</v>
      </c>
      <c r="F165" s="90" t="s">
        <v>6757</v>
      </c>
      <c r="G165" s="90">
        <v>1</v>
      </c>
      <c r="H165" s="90" t="s">
        <v>6518</v>
      </c>
      <c r="I165" s="90" t="s">
        <v>6758</v>
      </c>
      <c r="J165" s="90" t="s">
        <v>569</v>
      </c>
      <c r="K165" s="90">
        <v>2017</v>
      </c>
      <c r="L165" s="120" t="str">
        <f>HYPERLINK("http://services.igi-global.com/resolvedoi/resolve.aspx?doi=10.4018/978-1-52251-750-4")</f>
        <v>http://services.igi-global.com/resolvedoi/resolve.aspx?doi=10.4018/978-1-52251-750-4</v>
      </c>
    </row>
    <row r="166" spans="1:12">
      <c r="A166" s="90">
        <v>164</v>
      </c>
      <c r="B166" s="90" t="s">
        <v>5071</v>
      </c>
      <c r="C166" s="90" t="s">
        <v>7486</v>
      </c>
      <c r="D166" s="90">
        <v>9781522518181</v>
      </c>
      <c r="E166" s="90">
        <v>9781522518174</v>
      </c>
      <c r="F166" s="90" t="s">
        <v>6763</v>
      </c>
      <c r="G166" s="90">
        <v>1</v>
      </c>
      <c r="H166" s="90" t="s">
        <v>6518</v>
      </c>
      <c r="I166" s="90" t="s">
        <v>6764</v>
      </c>
      <c r="J166" s="90" t="s">
        <v>569</v>
      </c>
      <c r="K166" s="90">
        <v>2017</v>
      </c>
      <c r="L166" s="120" t="str">
        <f>HYPERLINK("http://services.igi-global.com/resolvedoi/resolve.aspx?doi=10.4018/978-1-52251-817-4")</f>
        <v>http://services.igi-global.com/resolvedoi/resolve.aspx?doi=10.4018/978-1-52251-817-4</v>
      </c>
    </row>
    <row r="167" spans="1:12">
      <c r="A167" s="90">
        <v>159</v>
      </c>
      <c r="B167" s="90" t="s">
        <v>5071</v>
      </c>
      <c r="C167" s="90" t="s">
        <v>7486</v>
      </c>
      <c r="D167" s="90">
        <v>9781522518334</v>
      </c>
      <c r="E167" s="90">
        <v>9781522518327</v>
      </c>
      <c r="F167" s="90" t="s">
        <v>6769</v>
      </c>
      <c r="G167" s="90">
        <v>1</v>
      </c>
      <c r="H167" s="90" t="s">
        <v>6518</v>
      </c>
      <c r="I167" s="90" t="s">
        <v>3446</v>
      </c>
      <c r="J167" s="90" t="s">
        <v>569</v>
      </c>
      <c r="K167" s="90">
        <v>2017</v>
      </c>
      <c r="L167" s="120" t="str">
        <f>HYPERLINK("http://services.igi-global.com/resolvedoi/resolve.aspx?doi=10.4018/978-1-52251-832-7")</f>
        <v>http://services.igi-global.com/resolvedoi/resolve.aspx?doi=10.4018/978-1-52251-832-7</v>
      </c>
    </row>
    <row r="168" spans="1:12">
      <c r="A168" s="90">
        <v>160</v>
      </c>
      <c r="B168" s="90" t="s">
        <v>5071</v>
      </c>
      <c r="C168" s="90" t="s">
        <v>7486</v>
      </c>
      <c r="D168" s="90">
        <v>9781522518983</v>
      </c>
      <c r="E168" s="90">
        <v>9781522518976</v>
      </c>
      <c r="F168" s="90" t="s">
        <v>6781</v>
      </c>
      <c r="G168" s="90">
        <v>1</v>
      </c>
      <c r="H168" s="90" t="s">
        <v>6518</v>
      </c>
      <c r="I168" s="90" t="s">
        <v>7488</v>
      </c>
      <c r="J168" s="90" t="s">
        <v>569</v>
      </c>
      <c r="K168" s="90">
        <v>2017</v>
      </c>
      <c r="L168" s="120" t="str">
        <f>HYPERLINK("http://services.igi-global.com/resolvedoi/resolve.aspx?doi=10.4018/978-1-52251-897-6")</f>
        <v>http://services.igi-global.com/resolvedoi/resolve.aspx?doi=10.4018/978-1-52251-897-6</v>
      </c>
    </row>
    <row r="169" spans="1:12">
      <c r="A169" s="90">
        <v>161</v>
      </c>
      <c r="B169" s="90" t="s">
        <v>5071</v>
      </c>
      <c r="C169" s="90" t="s">
        <v>7486</v>
      </c>
      <c r="D169" s="90">
        <v>9781522519539</v>
      </c>
      <c r="E169" s="90">
        <v>9781522519522</v>
      </c>
      <c r="F169" s="90" t="s">
        <v>6791</v>
      </c>
      <c r="G169" s="90">
        <v>1</v>
      </c>
      <c r="H169" s="90" t="s">
        <v>6518</v>
      </c>
      <c r="I169" s="90" t="s">
        <v>5548</v>
      </c>
      <c r="J169" s="90" t="s">
        <v>569</v>
      </c>
      <c r="K169" s="90">
        <v>2017</v>
      </c>
      <c r="L169" s="120" t="str">
        <f>HYPERLINK("http://services.igi-global.com/resolvedoi/resolve.aspx?doi=10.4018/978-1-52251-952-2")</f>
        <v>http://services.igi-global.com/resolvedoi/resolve.aspx?doi=10.4018/978-1-52251-952-2</v>
      </c>
    </row>
    <row r="170" spans="1:12">
      <c r="A170" s="90">
        <v>155</v>
      </c>
      <c r="B170" s="90" t="s">
        <v>5071</v>
      </c>
      <c r="C170" s="90" t="s">
        <v>7486</v>
      </c>
      <c r="D170" s="90">
        <v>9781522519645</v>
      </c>
      <c r="E170" s="90">
        <v>9781522519638</v>
      </c>
      <c r="F170" s="90" t="s">
        <v>6792</v>
      </c>
      <c r="G170" s="90">
        <v>1</v>
      </c>
      <c r="H170" s="90" t="s">
        <v>6518</v>
      </c>
      <c r="I170" s="90" t="s">
        <v>6793</v>
      </c>
      <c r="J170" s="90" t="s">
        <v>569</v>
      </c>
      <c r="K170" s="90">
        <v>2017</v>
      </c>
      <c r="L170" s="120" t="str">
        <f>HYPERLINK("http://services.igi-global.com/resolvedoi/resolve.aspx?doi=10.4018/978-1-52251-963-8")</f>
        <v>http://services.igi-global.com/resolvedoi/resolve.aspx?doi=10.4018/978-1-52251-963-8</v>
      </c>
    </row>
    <row r="171" spans="1:12">
      <c r="A171" s="90">
        <v>156</v>
      </c>
      <c r="B171" s="90" t="s">
        <v>5071</v>
      </c>
      <c r="C171" s="90" t="s">
        <v>7486</v>
      </c>
      <c r="D171" s="90">
        <v>9781522520399</v>
      </c>
      <c r="E171" s="90">
        <v>9781522520191</v>
      </c>
      <c r="F171" s="90" t="s">
        <v>6802</v>
      </c>
      <c r="G171" s="90">
        <v>1</v>
      </c>
      <c r="H171" s="90" t="s">
        <v>6518</v>
      </c>
      <c r="I171" s="90" t="s">
        <v>6803</v>
      </c>
      <c r="J171" s="90" t="s">
        <v>569</v>
      </c>
      <c r="K171" s="90">
        <v>2017</v>
      </c>
      <c r="L171" s="120" t="str">
        <f>HYPERLINK("http://services.igi-global.com/resolvedoi/resolve.aspx?doi=10.4018/978-1-52252-019-1")</f>
        <v>http://services.igi-global.com/resolvedoi/resolve.aspx?doi=10.4018/978-1-52252-019-1</v>
      </c>
    </row>
    <row r="172" spans="1:12">
      <c r="A172" s="90">
        <v>157</v>
      </c>
      <c r="B172" s="90" t="s">
        <v>5071</v>
      </c>
      <c r="C172" s="90" t="s">
        <v>7486</v>
      </c>
      <c r="D172" s="90">
        <v>9781522520245</v>
      </c>
      <c r="E172" s="90">
        <v>9781522520238</v>
      </c>
      <c r="F172" s="90" t="s">
        <v>6804</v>
      </c>
      <c r="G172" s="90">
        <v>1</v>
      </c>
      <c r="H172" s="90" t="s">
        <v>6518</v>
      </c>
      <c r="I172" s="90" t="s">
        <v>6805</v>
      </c>
      <c r="J172" s="90" t="s">
        <v>569</v>
      </c>
      <c r="K172" s="90">
        <v>2017</v>
      </c>
      <c r="L172" s="120" t="str">
        <f>HYPERLINK("http://services.igi-global.com/resolvedoi/resolve.aspx?doi=10.4018/978-1-52252-023-8")</f>
        <v>http://services.igi-global.com/resolvedoi/resolve.aspx?doi=10.4018/978-1-52252-023-8</v>
      </c>
    </row>
    <row r="173" spans="1:12">
      <c r="A173" s="90">
        <v>158</v>
      </c>
      <c r="B173" s="90" t="s">
        <v>5071</v>
      </c>
      <c r="C173" s="90" t="s">
        <v>7486</v>
      </c>
      <c r="D173" s="90">
        <v>9781522520542</v>
      </c>
      <c r="E173" s="90">
        <v>9781522520535</v>
      </c>
      <c r="F173" s="90" t="s">
        <v>7489</v>
      </c>
      <c r="G173" s="90">
        <v>1</v>
      </c>
      <c r="H173" s="90" t="s">
        <v>6518</v>
      </c>
      <c r="I173" s="90" t="s">
        <v>6811</v>
      </c>
      <c r="J173" s="90" t="s">
        <v>569</v>
      </c>
      <c r="K173" s="90">
        <v>2017</v>
      </c>
      <c r="L173" s="120" t="str">
        <f>HYPERLINK("http://services.igi-global.com/resolvedoi/resolve.aspx?doi=10.4018/978-1-52252-053-5")</f>
        <v>http://services.igi-global.com/resolvedoi/resolve.aspx?doi=10.4018/978-1-52252-053-5</v>
      </c>
    </row>
    <row r="174" spans="1:12">
      <c r="A174" s="90">
        <v>153</v>
      </c>
      <c r="B174" s="90" t="s">
        <v>5071</v>
      </c>
      <c r="C174" s="90" t="s">
        <v>7486</v>
      </c>
      <c r="D174" s="90">
        <v>9781522520962</v>
      </c>
      <c r="E174" s="90">
        <v>9781522520955</v>
      </c>
      <c r="F174" s="90" t="s">
        <v>6818</v>
      </c>
      <c r="G174" s="90">
        <v>1</v>
      </c>
      <c r="H174" s="90" t="s">
        <v>6518</v>
      </c>
      <c r="I174" s="90" t="s">
        <v>6819</v>
      </c>
      <c r="J174" s="90" t="s">
        <v>569</v>
      </c>
      <c r="K174" s="90">
        <v>2017</v>
      </c>
      <c r="L174" s="120" t="str">
        <f>HYPERLINK("http://services.igi-global.com/resolvedoi/resolve.aspx?doi=10.4018/978-1-52252-095-5")</f>
        <v>http://services.igi-global.com/resolvedoi/resolve.aspx?doi=10.4018/978-1-52252-095-5</v>
      </c>
    </row>
    <row r="175" spans="1:12">
      <c r="A175" s="90">
        <v>154</v>
      </c>
      <c r="B175" s="90" t="s">
        <v>5071</v>
      </c>
      <c r="C175" s="90" t="s">
        <v>7486</v>
      </c>
      <c r="D175" s="90">
        <v>9781522521143</v>
      </c>
      <c r="E175" s="90">
        <v>9781522521136</v>
      </c>
      <c r="F175" s="90" t="s">
        <v>6820</v>
      </c>
      <c r="G175" s="90">
        <v>1</v>
      </c>
      <c r="H175" s="90" t="s">
        <v>6518</v>
      </c>
      <c r="I175" s="90" t="s">
        <v>6821</v>
      </c>
      <c r="J175" s="90" t="s">
        <v>569</v>
      </c>
      <c r="K175" s="90">
        <v>2017</v>
      </c>
      <c r="L175" s="120" t="str">
        <f>HYPERLINK("http://services.igi-global.com/resolvedoi/resolve.aspx?doi=10.4018/978-1-52252-113-6")</f>
        <v>http://services.igi-global.com/resolvedoi/resolve.aspx?doi=10.4018/978-1-52252-113-6</v>
      </c>
    </row>
    <row r="176" spans="1:12">
      <c r="A176" s="90">
        <v>126</v>
      </c>
      <c r="B176" s="90" t="s">
        <v>5071</v>
      </c>
      <c r="C176" s="90" t="s">
        <v>7490</v>
      </c>
      <c r="D176" s="90">
        <v>9781466687219</v>
      </c>
      <c r="E176" s="90">
        <v>9781466687202</v>
      </c>
      <c r="F176" s="90" t="s">
        <v>6568</v>
      </c>
      <c r="G176" s="90">
        <v>1</v>
      </c>
      <c r="H176" s="90" t="s">
        <v>6518</v>
      </c>
      <c r="I176" s="90" t="s">
        <v>6569</v>
      </c>
      <c r="J176" s="90" t="s">
        <v>568</v>
      </c>
      <c r="K176" s="90">
        <v>2015</v>
      </c>
      <c r="L176" s="120" t="str">
        <f>HYPERLINK("http://services.igi-global.com/resolvedoi/resolve.aspx?doi=10.4018/978-1-46668-720-2")</f>
        <v>http://services.igi-global.com/resolvedoi/resolve.aspx?doi=10.4018/978-1-46668-720-2</v>
      </c>
    </row>
    <row r="177" spans="1:12">
      <c r="A177" s="90">
        <v>123</v>
      </c>
      <c r="B177" s="90" t="s">
        <v>5071</v>
      </c>
      <c r="C177" s="90" t="s">
        <v>7490</v>
      </c>
      <c r="D177" s="90">
        <v>9781466694859</v>
      </c>
      <c r="E177" s="90">
        <v>9781466694842</v>
      </c>
      <c r="F177" s="90" t="s">
        <v>6575</v>
      </c>
      <c r="G177" s="90">
        <v>1</v>
      </c>
      <c r="H177" s="90" t="s">
        <v>6518</v>
      </c>
      <c r="I177" s="90" t="s">
        <v>6576</v>
      </c>
      <c r="J177" s="90" t="s">
        <v>568</v>
      </c>
      <c r="K177" s="90">
        <v>2016</v>
      </c>
      <c r="L177" s="120" t="str">
        <f>HYPERLINK("http://services.igi-global.com/resolvedoi/resolve.aspx?doi=10.4018/978-1-46669-484-2")</f>
        <v>http://services.igi-global.com/resolvedoi/resolve.aspx?doi=10.4018/978-1-46669-484-2</v>
      </c>
    </row>
    <row r="178" spans="1:12">
      <c r="A178" s="90">
        <v>130</v>
      </c>
      <c r="B178" s="90" t="s">
        <v>5071</v>
      </c>
      <c r="C178" s="90" t="s">
        <v>7491</v>
      </c>
      <c r="D178" s="90">
        <v>9781466660076</v>
      </c>
      <c r="E178" s="90">
        <v>9781466660069</v>
      </c>
      <c r="F178" s="90" t="s">
        <v>6537</v>
      </c>
      <c r="G178" s="90">
        <v>1</v>
      </c>
      <c r="H178" s="90" t="s">
        <v>6518</v>
      </c>
      <c r="I178" s="90" t="s">
        <v>6538</v>
      </c>
      <c r="J178" s="90" t="s">
        <v>568</v>
      </c>
      <c r="K178" s="90">
        <v>2014</v>
      </c>
      <c r="L178" s="120" t="str">
        <f>HYPERLINK("http://services.igi-global.com/resolvedoi/resolve.aspx?doi=10.4018/978-1-46666-006-9")</f>
        <v>http://services.igi-global.com/resolvedoi/resolve.aspx?doi=10.4018/978-1-46666-006-9</v>
      </c>
    </row>
    <row r="179" spans="1:12">
      <c r="A179" s="90">
        <v>127</v>
      </c>
      <c r="B179" s="90" t="s">
        <v>5071</v>
      </c>
      <c r="C179" s="90" t="s">
        <v>7491</v>
      </c>
      <c r="D179" s="90">
        <v>9781466683693</v>
      </c>
      <c r="E179" s="90">
        <v>9781466683686</v>
      </c>
      <c r="F179" s="90" t="s">
        <v>6551</v>
      </c>
      <c r="G179" s="90">
        <v>1</v>
      </c>
      <c r="H179" s="90" t="s">
        <v>6518</v>
      </c>
      <c r="I179" s="90" t="s">
        <v>6552</v>
      </c>
      <c r="J179" s="90" t="s">
        <v>568</v>
      </c>
      <c r="K179" s="90">
        <v>2015</v>
      </c>
      <c r="L179" s="120" t="str">
        <f>HYPERLINK("http://services.igi-global.com/resolvedoi/resolve.aspx?doi=10.4018/978-1-46668-368-6")</f>
        <v>http://services.igi-global.com/resolvedoi/resolve.aspx?doi=10.4018/978-1-46668-368-6</v>
      </c>
    </row>
    <row r="180" spans="1:12">
      <c r="A180" s="90">
        <v>129</v>
      </c>
      <c r="B180" s="90" t="s">
        <v>5071</v>
      </c>
      <c r="C180" s="90" t="s">
        <v>7491</v>
      </c>
      <c r="D180" s="90">
        <v>9781466685666</v>
      </c>
      <c r="E180" s="90">
        <v>9781466685659</v>
      </c>
      <c r="F180" s="90" t="s">
        <v>6560</v>
      </c>
      <c r="G180" s="90">
        <v>1</v>
      </c>
      <c r="H180" s="90" t="s">
        <v>6518</v>
      </c>
      <c r="I180" s="90" t="s">
        <v>6561</v>
      </c>
      <c r="J180" s="90" t="s">
        <v>568</v>
      </c>
      <c r="K180" s="90">
        <v>2015</v>
      </c>
      <c r="L180" s="120" t="str">
        <f>HYPERLINK("http://services.igi-global.com/resolvedoi/resolve.aspx?doi=10.4018/978-1-46668-565-9")</f>
        <v>http://services.igi-global.com/resolvedoi/resolve.aspx?doi=10.4018/978-1-46668-565-9</v>
      </c>
    </row>
    <row r="181" spans="1:12">
      <c r="A181" s="90">
        <v>128</v>
      </c>
      <c r="B181" s="90" t="s">
        <v>5071</v>
      </c>
      <c r="C181" s="90" t="s">
        <v>7491</v>
      </c>
      <c r="D181" s="90">
        <v>9781466687097</v>
      </c>
      <c r="E181" s="90">
        <v>9781466687080</v>
      </c>
      <c r="F181" s="90" t="s">
        <v>6564</v>
      </c>
      <c r="G181" s="90">
        <v>1</v>
      </c>
      <c r="H181" s="90" t="s">
        <v>6518</v>
      </c>
      <c r="I181" s="90" t="s">
        <v>6565</v>
      </c>
      <c r="J181" s="90" t="s">
        <v>568</v>
      </c>
      <c r="K181" s="90">
        <v>2015</v>
      </c>
      <c r="L181" s="120" t="str">
        <f>HYPERLINK("http://services.igi-global.com/resolvedoi/resolve.aspx?doi=10.4018/978-1-46668-708-0")</f>
        <v>http://services.igi-global.com/resolvedoi/resolve.aspx?doi=10.4018/978-1-46668-708-0</v>
      </c>
    </row>
    <row r="182" spans="1:12">
      <c r="A182" s="90">
        <v>124</v>
      </c>
      <c r="B182" s="90" t="s">
        <v>5071</v>
      </c>
      <c r="C182" s="90" t="s">
        <v>7491</v>
      </c>
      <c r="D182" s="90">
        <v>9781466694507</v>
      </c>
      <c r="E182" s="90">
        <v>9781466694491</v>
      </c>
      <c r="F182" s="90" t="s">
        <v>6572</v>
      </c>
      <c r="G182" s="90">
        <v>1</v>
      </c>
      <c r="H182" s="90" t="s">
        <v>6518</v>
      </c>
      <c r="I182" s="90" t="s">
        <v>6573</v>
      </c>
      <c r="J182" s="90" t="s">
        <v>568</v>
      </c>
      <c r="K182" s="90">
        <v>2016</v>
      </c>
      <c r="L182" s="120" t="str">
        <f>HYPERLINK("http://services.igi-global.com/resolvedoi/resolve.aspx?doi=10.4018/978-1-46669-449-1")</f>
        <v>http://services.igi-global.com/resolvedoi/resolve.aspx?doi=10.4018/978-1-46669-449-1</v>
      </c>
    </row>
    <row r="183" spans="1:12">
      <c r="A183" s="90">
        <v>121</v>
      </c>
      <c r="B183" s="90" t="s">
        <v>5071</v>
      </c>
      <c r="C183" s="90" t="s">
        <v>7491</v>
      </c>
      <c r="D183" s="90">
        <v>9781466699038</v>
      </c>
      <c r="E183" s="90">
        <v>9781466699021</v>
      </c>
      <c r="F183" s="90" t="s">
        <v>6587</v>
      </c>
      <c r="G183" s="90">
        <v>1</v>
      </c>
      <c r="H183" s="90" t="s">
        <v>6518</v>
      </c>
      <c r="I183" s="90" t="s">
        <v>6588</v>
      </c>
      <c r="J183" s="90" t="s">
        <v>568</v>
      </c>
      <c r="K183" s="90">
        <v>2016</v>
      </c>
      <c r="L183" s="120" t="str">
        <f>HYPERLINK("http://services.igi-global.com/resolvedoi/resolve.aspx?doi=10.4018/978-1-46669-902-1")</f>
        <v>http://services.igi-global.com/resolvedoi/resolve.aspx?doi=10.4018/978-1-46669-902-1</v>
      </c>
    </row>
    <row r="184" spans="1:12">
      <c r="A184" s="90">
        <v>120</v>
      </c>
      <c r="B184" s="90" t="s">
        <v>5071</v>
      </c>
      <c r="C184" s="90" t="s">
        <v>7491</v>
      </c>
      <c r="D184" s="90">
        <v>9781522502029</v>
      </c>
      <c r="E184" s="90">
        <v>9781522502012</v>
      </c>
      <c r="F184" s="90" t="s">
        <v>6604</v>
      </c>
      <c r="G184" s="90">
        <v>1</v>
      </c>
      <c r="H184" s="90" t="s">
        <v>6518</v>
      </c>
      <c r="I184" s="90" t="s">
        <v>6605</v>
      </c>
      <c r="J184" s="90" t="s">
        <v>568</v>
      </c>
      <c r="K184" s="90">
        <v>2016</v>
      </c>
      <c r="L184" s="120" t="str">
        <f>HYPERLINK("http://services.igi-global.com/resolvedoi/resolve.aspx?doi=10.4018/978-1-52250-201-2")</f>
        <v>http://services.igi-global.com/resolvedoi/resolve.aspx?doi=10.4018/978-1-52250-201-2</v>
      </c>
    </row>
    <row r="185" spans="1:12">
      <c r="A185" s="90">
        <v>117</v>
      </c>
      <c r="B185" s="90" t="s">
        <v>5071</v>
      </c>
      <c r="C185" s="90" t="s">
        <v>7491</v>
      </c>
      <c r="D185" s="90">
        <v>9781522502944</v>
      </c>
      <c r="E185" s="90">
        <v>9781522502937</v>
      </c>
      <c r="F185" s="90" t="s">
        <v>6610</v>
      </c>
      <c r="G185" s="90">
        <v>1</v>
      </c>
      <c r="H185" s="90" t="s">
        <v>6518</v>
      </c>
      <c r="I185" s="90" t="s">
        <v>6611</v>
      </c>
      <c r="J185" s="90" t="s">
        <v>568</v>
      </c>
      <c r="K185" s="90">
        <v>2016</v>
      </c>
      <c r="L185" s="120" t="str">
        <f>HYPERLINK("http://services.igi-global.com/resolvedoi/resolve.aspx?doi=10.4018/978-1-52250-293-7")</f>
        <v>http://services.igi-global.com/resolvedoi/resolve.aspx?doi=10.4018/978-1-52250-293-7</v>
      </c>
    </row>
    <row r="186" spans="1:12">
      <c r="A186" s="90">
        <v>119</v>
      </c>
      <c r="B186" s="90" t="s">
        <v>5071</v>
      </c>
      <c r="C186" s="90" t="s">
        <v>7491</v>
      </c>
      <c r="D186" s="90">
        <v>9781522503330</v>
      </c>
      <c r="E186" s="90">
        <v>9781522503323</v>
      </c>
      <c r="F186" s="90" t="s">
        <v>6615</v>
      </c>
      <c r="G186" s="90">
        <v>1</v>
      </c>
      <c r="H186" s="90" t="s">
        <v>6518</v>
      </c>
      <c r="I186" s="90" t="s">
        <v>6616</v>
      </c>
      <c r="J186" s="90" t="s">
        <v>568</v>
      </c>
      <c r="K186" s="90">
        <v>2016</v>
      </c>
      <c r="L186" s="120" t="str">
        <f>HYPERLINK("http://services.igi-global.com/resolvedoi/resolve.aspx?doi=10.4018/978-1-52250-332-3")</f>
        <v>http://services.igi-global.com/resolvedoi/resolve.aspx?doi=10.4018/978-1-52250-332-3</v>
      </c>
    </row>
    <row r="187" spans="1:12">
      <c r="A187" s="90">
        <v>118</v>
      </c>
      <c r="B187" s="90" t="s">
        <v>5071</v>
      </c>
      <c r="C187" s="90" t="s">
        <v>7491</v>
      </c>
      <c r="D187" s="90">
        <v>9781522503361</v>
      </c>
      <c r="E187" s="90">
        <v>9781522503354</v>
      </c>
      <c r="F187" s="90" t="s">
        <v>6617</v>
      </c>
      <c r="G187" s="90">
        <v>1</v>
      </c>
      <c r="H187" s="90" t="s">
        <v>6518</v>
      </c>
      <c r="I187" s="90" t="s">
        <v>6618</v>
      </c>
      <c r="J187" s="90" t="s">
        <v>568</v>
      </c>
      <c r="K187" s="90">
        <v>2016</v>
      </c>
      <c r="L187" s="120" t="str">
        <f>HYPERLINK("http://services.igi-global.com/resolvedoi/resolve.aspx?doi=10.4018/978-1-52250-335-4")</f>
        <v>http://services.igi-global.com/resolvedoi/resolve.aspx?doi=10.4018/978-1-52250-335-4</v>
      </c>
    </row>
    <row r="188" spans="1:12">
      <c r="A188" s="90">
        <v>116</v>
      </c>
      <c r="B188" s="90" t="s">
        <v>5071</v>
      </c>
      <c r="C188" s="90" t="s">
        <v>7491</v>
      </c>
      <c r="D188" s="90">
        <v>9781522507093</v>
      </c>
      <c r="E188" s="90">
        <v>9781522507086</v>
      </c>
      <c r="F188" s="90" t="s">
        <v>6663</v>
      </c>
      <c r="G188" s="90">
        <v>1</v>
      </c>
      <c r="H188" s="90" t="s">
        <v>6518</v>
      </c>
      <c r="I188" s="90" t="s">
        <v>6664</v>
      </c>
      <c r="J188" s="90" t="s">
        <v>568</v>
      </c>
      <c r="K188" s="90">
        <v>2017</v>
      </c>
      <c r="L188" s="120" t="str">
        <f>HYPERLINK("http://services.igi-global.com/resolvedoi/resolve.aspx?doi=10.4018/978-1-52250-708-6")</f>
        <v>http://services.igi-global.com/resolvedoi/resolve.aspx?doi=10.4018/978-1-52250-708-6</v>
      </c>
    </row>
    <row r="189" spans="1:12">
      <c r="A189" s="90">
        <v>115</v>
      </c>
      <c r="B189" s="90" t="s">
        <v>5071</v>
      </c>
      <c r="C189" s="90" t="s">
        <v>7491</v>
      </c>
      <c r="D189" s="90">
        <v>9781522507710</v>
      </c>
      <c r="E189" s="90">
        <v>9781522507703</v>
      </c>
      <c r="F189" s="90" t="s">
        <v>6675</v>
      </c>
      <c r="G189" s="90">
        <v>1</v>
      </c>
      <c r="H189" s="90" t="s">
        <v>6518</v>
      </c>
      <c r="I189" s="90" t="s">
        <v>6676</v>
      </c>
      <c r="J189" s="90" t="s">
        <v>568</v>
      </c>
      <c r="K189" s="90">
        <v>2017</v>
      </c>
      <c r="L189" s="120" t="str">
        <f>HYPERLINK("http://services.igi-global.com/resolvedoi/resolve.aspx?doi=10.4018/978-1-52250-770-3")</f>
        <v>http://services.igi-global.com/resolvedoi/resolve.aspx?doi=10.4018/978-1-52250-770-3</v>
      </c>
    </row>
    <row r="190" spans="1:12">
      <c r="A190" s="90">
        <v>114</v>
      </c>
      <c r="B190" s="90" t="s">
        <v>5071</v>
      </c>
      <c r="C190" s="90" t="s">
        <v>7491</v>
      </c>
      <c r="D190" s="90">
        <v>9781522508625</v>
      </c>
      <c r="E190" s="90">
        <v>9781522508618</v>
      </c>
      <c r="F190" s="90" t="s">
        <v>6681</v>
      </c>
      <c r="G190" s="90">
        <v>1</v>
      </c>
      <c r="H190" s="90" t="s">
        <v>6518</v>
      </c>
      <c r="I190" s="90" t="s">
        <v>6682</v>
      </c>
      <c r="J190" s="90" t="s">
        <v>568</v>
      </c>
      <c r="K190" s="90">
        <v>2017</v>
      </c>
      <c r="L190" s="120" t="str">
        <f>HYPERLINK("http://services.igi-global.com/resolvedoi/resolve.aspx?doi=10.4018/978-1-52250-861-8")</f>
        <v>http://services.igi-global.com/resolvedoi/resolve.aspx?doi=10.4018/978-1-52250-861-8</v>
      </c>
    </row>
    <row r="191" spans="1:12">
      <c r="A191" s="90">
        <v>111</v>
      </c>
      <c r="B191" s="90" t="s">
        <v>5071</v>
      </c>
      <c r="C191" s="90" t="s">
        <v>7491</v>
      </c>
      <c r="D191" s="90">
        <v>9781522508878</v>
      </c>
      <c r="E191" s="90">
        <v>9781522508861</v>
      </c>
      <c r="F191" s="90" t="s">
        <v>6687</v>
      </c>
      <c r="G191" s="90">
        <v>1</v>
      </c>
      <c r="H191" s="90" t="s">
        <v>6518</v>
      </c>
      <c r="I191" s="90" t="s">
        <v>6688</v>
      </c>
      <c r="J191" s="90" t="s">
        <v>568</v>
      </c>
      <c r="K191" s="90">
        <v>2017</v>
      </c>
      <c r="L191" s="120" t="str">
        <f>HYPERLINK("http://services.igi-global.com/resolvedoi/resolve.aspx?doi=10.4018/978-1-52250-886-1")</f>
        <v>http://services.igi-global.com/resolvedoi/resolve.aspx?doi=10.4018/978-1-52250-886-1</v>
      </c>
    </row>
    <row r="192" spans="1:12">
      <c r="A192" s="90">
        <v>110</v>
      </c>
      <c r="B192" s="90" t="s">
        <v>5071</v>
      </c>
      <c r="C192" s="90" t="s">
        <v>7491</v>
      </c>
      <c r="D192" s="90">
        <v>9781522509066</v>
      </c>
      <c r="E192" s="90">
        <v>9781522509059</v>
      </c>
      <c r="F192" s="90" t="s">
        <v>6692</v>
      </c>
      <c r="G192" s="90">
        <v>1</v>
      </c>
      <c r="H192" s="90" t="s">
        <v>6518</v>
      </c>
      <c r="I192" s="90" t="s">
        <v>6693</v>
      </c>
      <c r="J192" s="90" t="s">
        <v>568</v>
      </c>
      <c r="K192" s="90">
        <v>2017</v>
      </c>
      <c r="L192" s="120" t="str">
        <f>HYPERLINK("http://services.igi-global.com/resolvedoi/resolve.aspx?doi=10.4018/978-1-52250-905-9")</f>
        <v>http://services.igi-global.com/resolvedoi/resolve.aspx?doi=10.4018/978-1-52250-905-9</v>
      </c>
    </row>
    <row r="193" spans="1:12">
      <c r="A193" s="90">
        <v>104</v>
      </c>
      <c r="B193" s="90" t="s">
        <v>5071</v>
      </c>
      <c r="C193" s="90" t="s">
        <v>7491</v>
      </c>
      <c r="D193" s="90">
        <v>9781522509493</v>
      </c>
      <c r="E193" s="90">
        <v>9781522509486</v>
      </c>
      <c r="F193" s="90" t="s">
        <v>6706</v>
      </c>
      <c r="G193" s="90">
        <v>1</v>
      </c>
      <c r="H193" s="90" t="s">
        <v>6518</v>
      </c>
      <c r="I193" s="90" t="s">
        <v>7484</v>
      </c>
      <c r="J193" s="90" t="s">
        <v>568</v>
      </c>
      <c r="K193" s="90">
        <v>2017</v>
      </c>
      <c r="L193" s="120" t="str">
        <f>HYPERLINK("http://services.igi-global.com/resolvedoi/resolve.aspx?doi=10.4018/978-1-52250-948-6")</f>
        <v>http://services.igi-global.com/resolvedoi/resolve.aspx?doi=10.4018/978-1-52250-948-6</v>
      </c>
    </row>
    <row r="194" spans="1:12">
      <c r="A194" s="90">
        <v>105</v>
      </c>
      <c r="B194" s="90" t="s">
        <v>5071</v>
      </c>
      <c r="C194" s="90" t="s">
        <v>7491</v>
      </c>
      <c r="D194" s="90">
        <v>9781522509578</v>
      </c>
      <c r="E194" s="90">
        <v>9781522509561</v>
      </c>
      <c r="F194" s="90" t="s">
        <v>6707</v>
      </c>
      <c r="G194" s="90">
        <v>1</v>
      </c>
      <c r="H194" s="90" t="s">
        <v>6518</v>
      </c>
      <c r="I194" s="90" t="s">
        <v>6708</v>
      </c>
      <c r="J194" s="90" t="s">
        <v>568</v>
      </c>
      <c r="K194" s="90">
        <v>2017</v>
      </c>
      <c r="L194" s="120" t="str">
        <f>HYPERLINK("http://services.igi-global.com/resolvedoi/resolve.aspx?doi=10.4018/978-1-52250-956-1")</f>
        <v>http://services.igi-global.com/resolvedoi/resolve.aspx?doi=10.4018/978-1-52250-956-1</v>
      </c>
    </row>
    <row r="195" spans="1:12">
      <c r="A195" s="90">
        <v>112</v>
      </c>
      <c r="B195" s="90" t="s">
        <v>5071</v>
      </c>
      <c r="C195" s="90" t="s">
        <v>7491</v>
      </c>
      <c r="D195" s="90">
        <v>9781522510062</v>
      </c>
      <c r="E195" s="90">
        <v>9781522510055</v>
      </c>
      <c r="F195" s="90" t="s">
        <v>6715</v>
      </c>
      <c r="G195" s="90">
        <v>1</v>
      </c>
      <c r="H195" s="90" t="s">
        <v>6518</v>
      </c>
      <c r="I195" s="90" t="s">
        <v>6716</v>
      </c>
      <c r="J195" s="90" t="s">
        <v>569</v>
      </c>
      <c r="K195" s="90">
        <v>2017</v>
      </c>
      <c r="L195" s="120" t="str">
        <f>HYPERLINK("http://services.igi-global.com/resolvedoi/resolve.aspx?doi=10.4018/978-1-52251-005-5")</f>
        <v>http://services.igi-global.com/resolvedoi/resolve.aspx?doi=10.4018/978-1-52251-005-5</v>
      </c>
    </row>
    <row r="196" spans="1:12">
      <c r="A196" s="90">
        <v>109</v>
      </c>
      <c r="B196" s="90" t="s">
        <v>5071</v>
      </c>
      <c r="C196" s="90" t="s">
        <v>7491</v>
      </c>
      <c r="D196" s="90">
        <v>9781522510093</v>
      </c>
      <c r="E196" s="90">
        <v>9781522510086</v>
      </c>
      <c r="F196" s="90" t="s">
        <v>6717</v>
      </c>
      <c r="G196" s="90">
        <v>1</v>
      </c>
      <c r="H196" s="90" t="s">
        <v>6518</v>
      </c>
      <c r="I196" s="90" t="s">
        <v>6718</v>
      </c>
      <c r="J196" s="90" t="s">
        <v>568</v>
      </c>
      <c r="K196" s="90">
        <v>2017</v>
      </c>
      <c r="L196" s="120" t="str">
        <f>HYPERLINK("http://services.igi-global.com/resolvedoi/resolve.aspx?doi=10.4018/978-1-52251-008-6")</f>
        <v>http://services.igi-global.com/resolvedoi/resolve.aspx?doi=10.4018/978-1-52251-008-6</v>
      </c>
    </row>
    <row r="197" spans="1:12">
      <c r="A197" s="90">
        <v>108</v>
      </c>
      <c r="B197" s="90" t="s">
        <v>5071</v>
      </c>
      <c r="C197" s="90" t="s">
        <v>7491</v>
      </c>
      <c r="D197" s="90">
        <v>9781522510550</v>
      </c>
      <c r="E197" s="90">
        <v>9781522510543</v>
      </c>
      <c r="F197" s="90" t="s">
        <v>6730</v>
      </c>
      <c r="G197" s="90">
        <v>1</v>
      </c>
      <c r="H197" s="90" t="s">
        <v>6518</v>
      </c>
      <c r="I197" s="90" t="s">
        <v>865</v>
      </c>
      <c r="J197" s="90" t="s">
        <v>568</v>
      </c>
      <c r="K197" s="90">
        <v>2017</v>
      </c>
      <c r="L197" s="123" t="str">
        <f>HYPERLINK("http://services.igi-global.com/resolvedoi/resolve.aspx?doi=10.4018/978-1-52251-054-3")</f>
        <v>http://services.igi-global.com/resolvedoi/resolve.aspx?doi=10.4018/978-1-52251-054-3</v>
      </c>
    </row>
    <row r="198" spans="1:12">
      <c r="A198" s="90">
        <v>113</v>
      </c>
      <c r="B198" s="90" t="s">
        <v>5071</v>
      </c>
      <c r="C198" s="90" t="s">
        <v>7491</v>
      </c>
      <c r="D198" s="90">
        <v>9781522516439</v>
      </c>
      <c r="E198" s="90">
        <v>9781522516422</v>
      </c>
      <c r="F198" s="90" t="s">
        <v>6736</v>
      </c>
      <c r="G198" s="90">
        <v>1</v>
      </c>
      <c r="H198" s="90" t="s">
        <v>6518</v>
      </c>
      <c r="I198" s="90" t="s">
        <v>6737</v>
      </c>
      <c r="J198" s="90" t="s">
        <v>568</v>
      </c>
      <c r="K198" s="90">
        <v>2017</v>
      </c>
      <c r="L198" s="128" t="str">
        <f>HYPERLINK("http://services.igi-global.com/resolvedoi/resolve.aspx?doi=10.4018/978-1-52251-642-2")</f>
        <v>http://services.igi-global.com/resolvedoi/resolve.aspx?doi=10.4018/978-1-52251-642-2</v>
      </c>
    </row>
    <row r="199" spans="1:12">
      <c r="A199" s="90">
        <v>103</v>
      </c>
      <c r="B199" s="90" t="s">
        <v>5071</v>
      </c>
      <c r="C199" s="90" t="s">
        <v>7491</v>
      </c>
      <c r="D199" s="90">
        <v>9781522519508</v>
      </c>
      <c r="E199" s="90">
        <v>9781522519492</v>
      </c>
      <c r="F199" s="90" t="s">
        <v>6789</v>
      </c>
      <c r="G199" s="90">
        <v>1</v>
      </c>
      <c r="H199" s="90" t="s">
        <v>6518</v>
      </c>
      <c r="I199" s="90" t="s">
        <v>6790</v>
      </c>
      <c r="J199" s="90" t="s">
        <v>568</v>
      </c>
      <c r="K199" s="90">
        <v>2017</v>
      </c>
      <c r="L199" s="128" t="str">
        <f>HYPERLINK("http://services.igi-global.com/resolvedoi/resolve.aspx?doi=10.4018/978-1-52251-949-2")</f>
        <v>http://services.igi-global.com/resolvedoi/resolve.aspx?doi=10.4018/978-1-52251-949-2</v>
      </c>
    </row>
    <row r="200" spans="1:12">
      <c r="A200" s="90">
        <v>99</v>
      </c>
      <c r="B200" s="90" t="s">
        <v>5071</v>
      </c>
      <c r="C200" s="90" t="s">
        <v>7491</v>
      </c>
      <c r="D200" s="90">
        <v>9781522519843</v>
      </c>
      <c r="E200" s="90">
        <v>9781522519836</v>
      </c>
      <c r="F200" s="90" t="s">
        <v>6797</v>
      </c>
      <c r="G200" s="90">
        <v>1</v>
      </c>
      <c r="H200" s="90" t="s">
        <v>6518</v>
      </c>
      <c r="I200" s="90" t="s">
        <v>6798</v>
      </c>
      <c r="J200" s="90" t="s">
        <v>568</v>
      </c>
      <c r="K200" s="90">
        <v>2017</v>
      </c>
      <c r="L200" s="128" t="str">
        <f>HYPERLINK("http://services.igi-global.com/resolvedoi/resolve.aspx?doi=10.4018/978-1-52251-983-6")</f>
        <v>http://services.igi-global.com/resolvedoi/resolve.aspx?doi=10.4018/978-1-52251-983-6</v>
      </c>
    </row>
    <row r="201" spans="1:12">
      <c r="A201" s="90">
        <v>100</v>
      </c>
      <c r="B201" s="90" t="s">
        <v>5071</v>
      </c>
      <c r="C201" s="90" t="s">
        <v>7491</v>
      </c>
      <c r="D201" s="90">
        <v>9781522520177</v>
      </c>
      <c r="E201" s="90">
        <v>9781522520160</v>
      </c>
      <c r="F201" s="90" t="s">
        <v>6800</v>
      </c>
      <c r="G201" s="90">
        <v>1</v>
      </c>
      <c r="H201" s="90" t="s">
        <v>6518</v>
      </c>
      <c r="I201" s="90" t="s">
        <v>6801</v>
      </c>
      <c r="J201" s="90" t="s">
        <v>568</v>
      </c>
      <c r="K201" s="90">
        <v>2017</v>
      </c>
      <c r="L201" s="128" t="str">
        <f>HYPERLINK("http://services.igi-global.com/resolvedoi/resolve.aspx?doi=10.4018/978-1-52252-016-0")</f>
        <v>http://services.igi-global.com/resolvedoi/resolve.aspx?doi=10.4018/978-1-52252-016-0</v>
      </c>
    </row>
    <row r="202" spans="1:12">
      <c r="A202" s="90">
        <v>101</v>
      </c>
      <c r="B202" s="90" t="s">
        <v>5071</v>
      </c>
      <c r="C202" s="90" t="s">
        <v>7491</v>
      </c>
      <c r="D202" s="90">
        <v>9781522520320</v>
      </c>
      <c r="E202" s="90">
        <v>9781522520313</v>
      </c>
      <c r="F202" s="90" t="s">
        <v>6807</v>
      </c>
      <c r="G202" s="90">
        <v>1</v>
      </c>
      <c r="H202" s="90" t="s">
        <v>6518</v>
      </c>
      <c r="I202" s="90" t="s">
        <v>6808</v>
      </c>
      <c r="J202" s="90" t="s">
        <v>568</v>
      </c>
      <c r="K202" s="90">
        <v>2017</v>
      </c>
      <c r="L202" s="128" t="str">
        <f>HYPERLINK("http://services.igi-global.com/resolvedoi/resolve.aspx?doi=10.4018/978-1-52252-031-3")</f>
        <v>http://services.igi-global.com/resolvedoi/resolve.aspx?doi=10.4018/978-1-52252-031-3</v>
      </c>
    </row>
    <row r="203" spans="1:12" ht="16.2">
      <c r="A203" s="90">
        <v>2</v>
      </c>
      <c r="B203" s="90" t="s">
        <v>5071</v>
      </c>
      <c r="C203" s="90" t="s">
        <v>7491</v>
      </c>
      <c r="D203" s="90" t="s">
        <v>6858</v>
      </c>
      <c r="E203" s="90" t="s">
        <v>6859</v>
      </c>
      <c r="F203" s="90" t="s">
        <v>6860</v>
      </c>
      <c r="G203" s="90">
        <v>1</v>
      </c>
      <c r="H203" s="90" t="s">
        <v>6518</v>
      </c>
      <c r="I203" s="90" t="s">
        <v>3493</v>
      </c>
      <c r="J203" s="90" t="s">
        <v>569</v>
      </c>
      <c r="K203" s="90" t="s">
        <v>6856</v>
      </c>
      <c r="L203" s="125" t="s">
        <v>6861</v>
      </c>
    </row>
    <row r="204" spans="1:12" ht="16.2">
      <c r="A204" s="90">
        <v>3</v>
      </c>
      <c r="B204" s="90" t="s">
        <v>5071</v>
      </c>
      <c r="C204" s="90" t="s">
        <v>7491</v>
      </c>
      <c r="D204" s="90" t="s">
        <v>6862</v>
      </c>
      <c r="E204" s="90" t="s">
        <v>6863</v>
      </c>
      <c r="F204" s="90" t="s">
        <v>6864</v>
      </c>
      <c r="G204" s="90">
        <v>1</v>
      </c>
      <c r="H204" s="90" t="s">
        <v>6518</v>
      </c>
      <c r="I204" s="90" t="s">
        <v>6865</v>
      </c>
      <c r="J204" s="90" t="s">
        <v>568</v>
      </c>
      <c r="K204" s="90" t="s">
        <v>6856</v>
      </c>
      <c r="L204" s="125" t="s">
        <v>6866</v>
      </c>
    </row>
    <row r="205" spans="1:12" ht="16.2">
      <c r="A205" s="90">
        <v>15</v>
      </c>
      <c r="B205" s="90" t="s">
        <v>5071</v>
      </c>
      <c r="C205" s="90" t="s">
        <v>7491</v>
      </c>
      <c r="D205" s="90" t="s">
        <v>6923</v>
      </c>
      <c r="E205" s="90" t="s">
        <v>6924</v>
      </c>
      <c r="F205" s="90" t="s">
        <v>7495</v>
      </c>
      <c r="G205" s="90">
        <v>1</v>
      </c>
      <c r="H205" s="90" t="s">
        <v>6518</v>
      </c>
      <c r="I205" s="90" t="s">
        <v>3309</v>
      </c>
      <c r="J205" s="90" t="s">
        <v>568</v>
      </c>
      <c r="K205" s="90" t="s">
        <v>6856</v>
      </c>
      <c r="L205" s="125" t="s">
        <v>6925</v>
      </c>
    </row>
    <row r="206" spans="1:12" ht="16.2">
      <c r="A206" s="90">
        <v>4</v>
      </c>
      <c r="B206" s="90" t="s">
        <v>5071</v>
      </c>
      <c r="C206" s="90" t="s">
        <v>7491</v>
      </c>
      <c r="D206" s="90" t="s">
        <v>6867</v>
      </c>
      <c r="E206" s="90" t="s">
        <v>6868</v>
      </c>
      <c r="F206" s="90" t="s">
        <v>6869</v>
      </c>
      <c r="G206" s="90">
        <v>1</v>
      </c>
      <c r="H206" s="90" t="s">
        <v>6518</v>
      </c>
      <c r="I206" s="90" t="s">
        <v>6870</v>
      </c>
      <c r="J206" s="90" t="s">
        <v>568</v>
      </c>
      <c r="K206" s="90" t="s">
        <v>6871</v>
      </c>
      <c r="L206" s="125" t="s">
        <v>6872</v>
      </c>
    </row>
    <row r="207" spans="1:12">
      <c r="A207" s="90">
        <v>125</v>
      </c>
      <c r="B207" s="90" t="s">
        <v>5071</v>
      </c>
      <c r="C207" s="90" t="s">
        <v>7492</v>
      </c>
      <c r="D207" s="90">
        <v>9781466684607</v>
      </c>
      <c r="E207" s="90">
        <v>9781466684591</v>
      </c>
      <c r="F207" s="90" t="s">
        <v>6553</v>
      </c>
      <c r="G207" s="90">
        <v>1</v>
      </c>
      <c r="H207" s="90" t="s">
        <v>6518</v>
      </c>
      <c r="I207" s="90" t="s">
        <v>5127</v>
      </c>
      <c r="J207" s="90" t="s">
        <v>568</v>
      </c>
      <c r="K207" s="90">
        <v>2015</v>
      </c>
      <c r="L207" s="128" t="str">
        <f>HYPERLINK("http://services.igi-global.com/resolvedoi/resolve.aspx?doi=10.4018/978-1-46668-459-1")</f>
        <v>http://services.igi-global.com/resolvedoi/resolve.aspx?doi=10.4018/978-1-46668-459-1</v>
      </c>
    </row>
    <row r="208" spans="1:12">
      <c r="A208" s="90">
        <v>122</v>
      </c>
      <c r="B208" s="90" t="s">
        <v>5071</v>
      </c>
      <c r="C208" s="90" t="s">
        <v>7492</v>
      </c>
      <c r="D208" s="90">
        <v>9781466688094</v>
      </c>
      <c r="E208" s="90">
        <v>9781466688087</v>
      </c>
      <c r="F208" s="90" t="s">
        <v>6570</v>
      </c>
      <c r="G208" s="90">
        <v>1</v>
      </c>
      <c r="H208" s="90" t="s">
        <v>6518</v>
      </c>
      <c r="I208" s="90" t="s">
        <v>6571</v>
      </c>
      <c r="J208" s="90" t="s">
        <v>568</v>
      </c>
      <c r="K208" s="90">
        <v>2016</v>
      </c>
      <c r="L208" s="128" t="str">
        <f>HYPERLINK("http://services.igi-global.com/resolvedoi/resolve.aspx?doi=10.4018/978-1-46668-808-7")</f>
        <v>http://services.igi-global.com/resolvedoi/resolve.aspx?doi=10.4018/978-1-46668-808-7</v>
      </c>
    </row>
    <row r="209" spans="1:12">
      <c r="A209" s="90">
        <v>106</v>
      </c>
      <c r="B209" s="90" t="s">
        <v>5071</v>
      </c>
      <c r="C209" s="90" t="s">
        <v>7492</v>
      </c>
      <c r="D209" s="90">
        <v>9781683180173</v>
      </c>
      <c r="E209" s="90">
        <v>9781683180128</v>
      </c>
      <c r="F209" s="90" t="s">
        <v>7493</v>
      </c>
      <c r="G209" s="90">
        <v>1</v>
      </c>
      <c r="H209" s="90" t="s">
        <v>6518</v>
      </c>
      <c r="I209" s="90" t="s">
        <v>2630</v>
      </c>
      <c r="J209" s="90" t="s">
        <v>568</v>
      </c>
      <c r="K209" s="90">
        <v>2017</v>
      </c>
      <c r="L209" s="128" t="str">
        <f>HYPERLINK("http://services.igi-global.com/resolvedoi/resolve.aspx?doi=10.4018/978-1-68318-012-8")</f>
        <v>http://services.igi-global.com/resolvedoi/resolve.aspx?doi=10.4018/978-1-68318-012-8</v>
      </c>
    </row>
    <row r="210" spans="1:12">
      <c r="A210" s="90">
        <v>152</v>
      </c>
      <c r="B210" s="90" t="s">
        <v>5071</v>
      </c>
      <c r="C210" s="90" t="s">
        <v>7494</v>
      </c>
      <c r="D210" s="90">
        <v>9781522504900</v>
      </c>
      <c r="E210" s="90">
        <v>9781522504894</v>
      </c>
      <c r="F210" s="90" t="s">
        <v>6631</v>
      </c>
      <c r="G210" s="90">
        <v>1</v>
      </c>
      <c r="H210" s="90" t="s">
        <v>6518</v>
      </c>
      <c r="I210" s="90" t="s">
        <v>1842</v>
      </c>
      <c r="J210" s="90" t="s">
        <v>569</v>
      </c>
      <c r="K210" s="90">
        <v>2017</v>
      </c>
      <c r="L210" s="128" t="str">
        <f>HYPERLINK("http://services.igi-global.com/resolvedoi/resolve.aspx?doi=10.4018/978-1-52250-489-4")</f>
        <v>http://services.igi-global.com/resolvedoi/resolve.aspx?doi=10.4018/978-1-52250-489-4</v>
      </c>
    </row>
    <row r="211" spans="1:12">
      <c r="A211" s="90">
        <v>151</v>
      </c>
      <c r="B211" s="90" t="s">
        <v>5071</v>
      </c>
      <c r="C211" s="90" t="s">
        <v>7494</v>
      </c>
      <c r="D211" s="90">
        <v>9781522521204</v>
      </c>
      <c r="E211" s="90">
        <v>9781522521198</v>
      </c>
      <c r="F211" s="90" t="s">
        <v>6822</v>
      </c>
      <c r="G211" s="90">
        <v>1</v>
      </c>
      <c r="H211" s="90" t="s">
        <v>6518</v>
      </c>
      <c r="I211" s="90" t="s">
        <v>6823</v>
      </c>
      <c r="J211" s="90" t="s">
        <v>569</v>
      </c>
      <c r="K211" s="90">
        <v>2018</v>
      </c>
      <c r="L211" s="128" t="str">
        <f>HYPERLINK("http://services.igi-global.com/resolvedoi/resolve.aspx?doi=10.4018/978-1-52252-119-8")</f>
        <v>http://services.igi-global.com/resolvedoi/resolve.aspx?doi=10.4018/978-1-52252-119-8</v>
      </c>
    </row>
    <row r="212" spans="1:12" ht="16.2">
      <c r="A212" s="90">
        <v>10</v>
      </c>
      <c r="B212" s="90" t="s">
        <v>5071</v>
      </c>
      <c r="C212" s="90" t="s">
        <v>7494</v>
      </c>
      <c r="D212" s="90" t="s">
        <v>6898</v>
      </c>
      <c r="E212" s="90" t="s">
        <v>6899</v>
      </c>
      <c r="F212" s="90" t="s">
        <v>6900</v>
      </c>
      <c r="G212" s="90">
        <v>1</v>
      </c>
      <c r="H212" s="90" t="s">
        <v>6518</v>
      </c>
      <c r="I212" s="90" t="s">
        <v>6207</v>
      </c>
      <c r="J212" s="90" t="s">
        <v>569</v>
      </c>
      <c r="K212" s="90" t="s">
        <v>6856</v>
      </c>
      <c r="L212" s="126" t="s">
        <v>6901</v>
      </c>
    </row>
    <row r="213" spans="1:12">
      <c r="G213" s="90" t="s">
        <v>7497</v>
      </c>
      <c r="H213" s="90">
        <v>15</v>
      </c>
      <c r="L213" s="124"/>
    </row>
  </sheetData>
  <sortState xmlns:xlrd2="http://schemas.microsoft.com/office/spreadsheetml/2017/richdata2" ref="A2:L213">
    <sortCondition ref="C2:C213"/>
  </sortState>
  <phoneticPr fontId="3" type="noConversion"/>
  <hyperlinks>
    <hyperlink ref="L205" r:id="rId1" xr:uid="{00000000-0004-0000-0600-000000000000}"/>
    <hyperlink ref="L137" r:id="rId2" xr:uid="{00000000-0004-0000-0600-000001000000}"/>
    <hyperlink ref="L203" r:id="rId3" xr:uid="{00000000-0004-0000-0600-000002000000}"/>
    <hyperlink ref="L204" r:id="rId4" xr:uid="{00000000-0004-0000-0600-000003000000}"/>
    <hyperlink ref="L126" r:id="rId5" xr:uid="{00000000-0004-0000-0600-000004000000}"/>
    <hyperlink ref="L206" r:id="rId6" xr:uid="{00000000-0004-0000-0600-000005000000}"/>
    <hyperlink ref="L127" r:id="rId7" xr:uid="{00000000-0004-0000-0600-000006000000}"/>
    <hyperlink ref="L128" r:id="rId8" xr:uid="{00000000-0004-0000-0600-000007000000}"/>
    <hyperlink ref="L129" r:id="rId9" xr:uid="{00000000-0004-0000-0600-000008000000}"/>
    <hyperlink ref="L133" r:id="rId10" xr:uid="{00000000-0004-0000-0600-000009000000}"/>
    <hyperlink ref="L212" r:id="rId11" xr:uid="{00000000-0004-0000-0600-00000A000000}"/>
    <hyperlink ref="L150" r:id="rId12" xr:uid="{00000000-0004-0000-0600-00000B000000}"/>
    <hyperlink ref="L151" r:id="rId13" xr:uid="{00000000-0004-0000-0600-00000C000000}"/>
    <hyperlink ref="L107" r:id="rId14" xr:uid="{00000000-0004-0000-0600-00000D000000}"/>
    <hyperlink ref="L32" r:id="rId15" xr:uid="{00000000-0004-0000-0600-00000E000000}"/>
  </hyperlinks>
  <pageMargins left="0.7" right="0.7" top="0.75" bottom="0.75" header="0.3" footer="0.3"/>
  <tableParts count="1">
    <tablePart r:id="rId16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15"/>
  <sheetViews>
    <sheetView topLeftCell="C1" workbookViewId="0">
      <pane ySplit="1" topLeftCell="A282" activePane="bottomLeft" state="frozen"/>
      <selection activeCell="C1" sqref="C1"/>
      <selection pane="bottomLeft" activeCell="F296" sqref="F296"/>
    </sheetView>
  </sheetViews>
  <sheetFormatPr defaultColWidth="9" defaultRowHeight="15.6"/>
  <cols>
    <col min="1" max="2" width="0" style="121" hidden="1" customWidth="1"/>
    <col min="3" max="3" width="26.77734375" style="121" customWidth="1"/>
    <col min="4" max="5" width="0" style="121" hidden="1" customWidth="1"/>
    <col min="6" max="6" width="88.44140625" style="121" customWidth="1"/>
    <col min="7" max="8" width="0" style="121" hidden="1" customWidth="1"/>
    <col min="9" max="9" width="29.21875" style="121" bestFit="1" customWidth="1"/>
    <col min="10" max="10" width="0" style="121" hidden="1" customWidth="1"/>
    <col min="11" max="11" width="9" style="129"/>
    <col min="12" max="12" width="0" style="121" hidden="1" customWidth="1"/>
    <col min="13" max="13" width="74.77734375" style="121" bestFit="1" customWidth="1"/>
    <col min="14" max="16384" width="9" style="121"/>
  </cols>
  <sheetData>
    <row r="1" spans="1:13" s="129" customFormat="1">
      <c r="A1" s="129" t="s">
        <v>7452</v>
      </c>
      <c r="B1" s="129" t="s">
        <v>1619</v>
      </c>
      <c r="C1" s="129" t="s">
        <v>1620</v>
      </c>
      <c r="D1" s="129" t="s">
        <v>1621</v>
      </c>
      <c r="E1" s="129" t="s">
        <v>544</v>
      </c>
      <c r="F1" s="129" t="s">
        <v>1622</v>
      </c>
      <c r="G1" s="129" t="s">
        <v>545</v>
      </c>
      <c r="H1" s="129" t="s">
        <v>1624</v>
      </c>
      <c r="I1" s="129" t="s">
        <v>1625</v>
      </c>
      <c r="J1" s="129" t="s">
        <v>1626</v>
      </c>
      <c r="K1" s="129" t="s">
        <v>1623</v>
      </c>
      <c r="L1" s="129" t="s">
        <v>7498</v>
      </c>
      <c r="M1" s="129" t="s">
        <v>7453</v>
      </c>
    </row>
    <row r="2" spans="1:13" ht="16.2">
      <c r="A2" s="121">
        <v>99</v>
      </c>
      <c r="B2" s="121" t="s">
        <v>5071</v>
      </c>
      <c r="C2" s="121" t="s">
        <v>7478</v>
      </c>
      <c r="D2" s="121">
        <v>9781522552260</v>
      </c>
      <c r="E2" s="121">
        <v>9781522552253</v>
      </c>
      <c r="F2" s="121" t="s">
        <v>6926</v>
      </c>
      <c r="G2" s="121">
        <v>1</v>
      </c>
      <c r="H2" s="121" t="s">
        <v>6518</v>
      </c>
      <c r="I2" s="121" t="s">
        <v>6927</v>
      </c>
      <c r="J2" s="121" t="s">
        <v>569</v>
      </c>
      <c r="K2" s="129">
        <v>2019</v>
      </c>
      <c r="L2" s="121" t="s">
        <v>7499</v>
      </c>
      <c r="M2" s="130" t="s">
        <v>7500</v>
      </c>
    </row>
    <row r="3" spans="1:13" ht="16.2">
      <c r="A3" s="121">
        <v>103</v>
      </c>
      <c r="B3" s="121" t="s">
        <v>5071</v>
      </c>
      <c r="C3" s="121" t="s">
        <v>7478</v>
      </c>
      <c r="D3" s="121">
        <v>9781522533962</v>
      </c>
      <c r="E3" s="121">
        <v>9781522533955</v>
      </c>
      <c r="F3" s="121" t="s">
        <v>6928</v>
      </c>
      <c r="G3" s="121">
        <v>2</v>
      </c>
      <c r="H3" s="121" t="s">
        <v>6518</v>
      </c>
      <c r="I3" s="121" t="s">
        <v>6929</v>
      </c>
      <c r="J3" s="121" t="s">
        <v>569</v>
      </c>
      <c r="K3" s="129">
        <v>2019</v>
      </c>
      <c r="L3" s="121" t="s">
        <v>7499</v>
      </c>
      <c r="M3" s="130" t="s">
        <v>7501</v>
      </c>
    </row>
    <row r="4" spans="1:13" ht="16.2">
      <c r="A4" s="121">
        <v>96</v>
      </c>
      <c r="B4" s="121" t="s">
        <v>5071</v>
      </c>
      <c r="C4" s="121" t="s">
        <v>7478</v>
      </c>
      <c r="D4" s="121">
        <v>9781522556534</v>
      </c>
      <c r="E4" s="121">
        <v>9781522556527</v>
      </c>
      <c r="F4" s="121" t="s">
        <v>6930</v>
      </c>
      <c r="G4" s="121">
        <v>1</v>
      </c>
      <c r="H4" s="121" t="s">
        <v>6518</v>
      </c>
      <c r="I4" s="121" t="s">
        <v>1424</v>
      </c>
      <c r="J4" s="121" t="s">
        <v>569</v>
      </c>
      <c r="K4" s="129">
        <v>2018</v>
      </c>
      <c r="L4" s="121" t="s">
        <v>7499</v>
      </c>
      <c r="M4" s="130" t="s">
        <v>7502</v>
      </c>
    </row>
    <row r="5" spans="1:13" ht="16.2">
      <c r="A5" s="121">
        <v>97</v>
      </c>
      <c r="B5" s="121" t="s">
        <v>5071</v>
      </c>
      <c r="C5" s="121" t="s">
        <v>7478</v>
      </c>
      <c r="D5" s="121">
        <v>9781522554646</v>
      </c>
      <c r="E5" s="121">
        <v>9781522554639</v>
      </c>
      <c r="F5" s="121" t="s">
        <v>6931</v>
      </c>
      <c r="G5" s="121">
        <v>1</v>
      </c>
      <c r="H5" s="121" t="s">
        <v>6518</v>
      </c>
      <c r="I5" s="121" t="s">
        <v>6778</v>
      </c>
      <c r="J5" s="121" t="s">
        <v>569</v>
      </c>
      <c r="K5" s="129">
        <v>2018</v>
      </c>
      <c r="L5" s="121" t="s">
        <v>7499</v>
      </c>
      <c r="M5" s="130" t="s">
        <v>7503</v>
      </c>
    </row>
    <row r="6" spans="1:13" ht="16.2">
      <c r="A6" s="121">
        <v>98</v>
      </c>
      <c r="B6" s="121" t="s">
        <v>5071</v>
      </c>
      <c r="C6" s="121" t="s">
        <v>7478</v>
      </c>
      <c r="D6" s="121">
        <v>9781522552444</v>
      </c>
      <c r="E6" s="121">
        <v>9781522552437</v>
      </c>
      <c r="F6" s="121" t="s">
        <v>6932</v>
      </c>
      <c r="G6" s="121">
        <v>1</v>
      </c>
      <c r="H6" s="121" t="s">
        <v>6518</v>
      </c>
      <c r="I6" s="121" t="s">
        <v>6933</v>
      </c>
      <c r="J6" s="121" t="s">
        <v>569</v>
      </c>
      <c r="K6" s="129">
        <v>2018</v>
      </c>
      <c r="L6" s="121" t="s">
        <v>7499</v>
      </c>
      <c r="M6" s="130" t="s">
        <v>7504</v>
      </c>
    </row>
    <row r="7" spans="1:13" ht="16.2">
      <c r="A7" s="121">
        <v>100</v>
      </c>
      <c r="B7" s="121" t="s">
        <v>5071</v>
      </c>
      <c r="C7" s="121" t="s">
        <v>7478</v>
      </c>
      <c r="D7" s="121">
        <v>9781522542070</v>
      </c>
      <c r="E7" s="121">
        <v>9781522542063</v>
      </c>
      <c r="F7" s="121" t="s">
        <v>6934</v>
      </c>
      <c r="G7" s="121">
        <v>1</v>
      </c>
      <c r="H7" s="121" t="s">
        <v>6518</v>
      </c>
      <c r="I7" s="121" t="s">
        <v>6935</v>
      </c>
      <c r="J7" s="121" t="s">
        <v>569</v>
      </c>
      <c r="K7" s="129">
        <v>2018</v>
      </c>
      <c r="L7" s="121" t="s">
        <v>7499</v>
      </c>
      <c r="M7" s="130" t="s">
        <v>7505</v>
      </c>
    </row>
    <row r="8" spans="1:13" ht="16.2">
      <c r="A8" s="121">
        <v>101</v>
      </c>
      <c r="B8" s="121" t="s">
        <v>5071</v>
      </c>
      <c r="C8" s="121" t="s">
        <v>7478</v>
      </c>
      <c r="D8" s="121">
        <v>9781522541127</v>
      </c>
      <c r="E8" s="121">
        <v>9781522541110</v>
      </c>
      <c r="F8" s="121" t="s">
        <v>6936</v>
      </c>
      <c r="G8" s="121">
        <v>1</v>
      </c>
      <c r="H8" s="121" t="s">
        <v>6518</v>
      </c>
      <c r="I8" s="121" t="s">
        <v>6937</v>
      </c>
      <c r="J8" s="121" t="s">
        <v>569</v>
      </c>
      <c r="K8" s="129">
        <v>2018</v>
      </c>
      <c r="L8" s="121" t="s">
        <v>7499</v>
      </c>
      <c r="M8" s="130" t="s">
        <v>7506</v>
      </c>
    </row>
    <row r="9" spans="1:13" ht="16.2">
      <c r="A9" s="121">
        <v>102</v>
      </c>
      <c r="B9" s="121" t="s">
        <v>5071</v>
      </c>
      <c r="C9" s="121" t="s">
        <v>7478</v>
      </c>
      <c r="D9" s="121">
        <v>9781522540601</v>
      </c>
      <c r="E9" s="121">
        <v>9781522540595</v>
      </c>
      <c r="F9" s="121" t="s">
        <v>7507</v>
      </c>
      <c r="G9" s="121">
        <v>1</v>
      </c>
      <c r="H9" s="121" t="s">
        <v>6518</v>
      </c>
      <c r="I9" s="121" t="s">
        <v>6938</v>
      </c>
      <c r="J9" s="121" t="s">
        <v>569</v>
      </c>
      <c r="K9" s="129">
        <v>2018</v>
      </c>
      <c r="L9" s="121" t="s">
        <v>7499</v>
      </c>
      <c r="M9" s="130" t="s">
        <v>7508</v>
      </c>
    </row>
    <row r="10" spans="1:13" ht="16.2">
      <c r="A10" s="121">
        <v>104</v>
      </c>
      <c r="B10" s="121" t="s">
        <v>5071</v>
      </c>
      <c r="C10" s="121" t="s">
        <v>7478</v>
      </c>
      <c r="D10" s="121">
        <v>9781522551102</v>
      </c>
      <c r="E10" s="121">
        <v>9781522551096</v>
      </c>
      <c r="F10" s="121" t="s">
        <v>6939</v>
      </c>
      <c r="G10" s="121">
        <v>1</v>
      </c>
      <c r="H10" s="121" t="s">
        <v>6518</v>
      </c>
      <c r="I10" s="121" t="s">
        <v>6940</v>
      </c>
      <c r="J10" s="121" t="s">
        <v>569</v>
      </c>
      <c r="K10" s="129">
        <v>2018</v>
      </c>
      <c r="L10" s="121" t="s">
        <v>7499</v>
      </c>
      <c r="M10" s="130" t="s">
        <v>7509</v>
      </c>
    </row>
    <row r="11" spans="1:13" ht="16.2">
      <c r="A11" s="121">
        <v>105</v>
      </c>
      <c r="B11" s="121" t="s">
        <v>5071</v>
      </c>
      <c r="C11" s="121" t="s">
        <v>7478</v>
      </c>
      <c r="D11" s="121">
        <v>9781522554677</v>
      </c>
      <c r="E11" s="121">
        <v>9781522554660</v>
      </c>
      <c r="F11" s="121" t="s">
        <v>6941</v>
      </c>
      <c r="G11" s="121">
        <v>1</v>
      </c>
      <c r="H11" s="121" t="s">
        <v>6518</v>
      </c>
      <c r="I11" s="121" t="s">
        <v>6942</v>
      </c>
      <c r="J11" s="121" t="s">
        <v>569</v>
      </c>
      <c r="K11" s="129">
        <v>2018</v>
      </c>
      <c r="L11" s="121" t="s">
        <v>7499</v>
      </c>
      <c r="M11" s="130" t="s">
        <v>7510</v>
      </c>
    </row>
    <row r="12" spans="1:13" ht="16.2">
      <c r="A12" s="121">
        <v>106</v>
      </c>
      <c r="B12" s="121" t="s">
        <v>5071</v>
      </c>
      <c r="C12" s="121" t="s">
        <v>7478</v>
      </c>
      <c r="D12" s="121">
        <v>9781522540212</v>
      </c>
      <c r="E12" s="121">
        <v>9781522540205</v>
      </c>
      <c r="F12" s="121" t="s">
        <v>6943</v>
      </c>
      <c r="G12" s="121">
        <v>1</v>
      </c>
      <c r="H12" s="121" t="s">
        <v>6518</v>
      </c>
      <c r="I12" s="121" t="s">
        <v>6944</v>
      </c>
      <c r="J12" s="121" t="s">
        <v>569</v>
      </c>
      <c r="K12" s="129">
        <v>2018</v>
      </c>
      <c r="L12" s="121" t="s">
        <v>7499</v>
      </c>
      <c r="M12" s="130" t="s">
        <v>7511</v>
      </c>
    </row>
    <row r="13" spans="1:13" ht="16.2">
      <c r="A13" s="121">
        <v>107</v>
      </c>
      <c r="B13" s="121" t="s">
        <v>5071</v>
      </c>
      <c r="C13" s="121" t="s">
        <v>7478</v>
      </c>
      <c r="D13" s="121">
        <v>9781522556329</v>
      </c>
      <c r="E13" s="121">
        <v>9781522556312</v>
      </c>
      <c r="F13" s="121" t="s">
        <v>6945</v>
      </c>
      <c r="G13" s="121">
        <v>4</v>
      </c>
      <c r="H13" s="121" t="s">
        <v>6518</v>
      </c>
      <c r="I13" s="121" t="s">
        <v>1424</v>
      </c>
      <c r="J13" s="121" t="s">
        <v>569</v>
      </c>
      <c r="K13" s="129">
        <v>2018</v>
      </c>
      <c r="L13" s="121" t="s">
        <v>7499</v>
      </c>
      <c r="M13" s="130" t="s">
        <v>7512</v>
      </c>
    </row>
    <row r="14" spans="1:13" ht="16.2">
      <c r="A14" s="121">
        <v>108</v>
      </c>
      <c r="B14" s="121" t="s">
        <v>5071</v>
      </c>
      <c r="C14" s="121" t="s">
        <v>7478</v>
      </c>
      <c r="D14" s="121">
        <v>9781522549611</v>
      </c>
      <c r="E14" s="121">
        <v>9781522549604</v>
      </c>
      <c r="F14" s="121" t="s">
        <v>6946</v>
      </c>
      <c r="G14" s="121">
        <v>1</v>
      </c>
      <c r="H14" s="121" t="s">
        <v>6518</v>
      </c>
      <c r="I14" s="121" t="s">
        <v>6947</v>
      </c>
      <c r="J14" s="121" t="s">
        <v>569</v>
      </c>
      <c r="K14" s="129">
        <v>2018</v>
      </c>
      <c r="L14" s="121" t="s">
        <v>7499</v>
      </c>
      <c r="M14" s="130" t="s">
        <v>7513</v>
      </c>
    </row>
    <row r="15" spans="1:13" ht="16.2">
      <c r="A15" s="121">
        <v>109</v>
      </c>
      <c r="B15" s="121" t="s">
        <v>5071</v>
      </c>
      <c r="C15" s="121" t="s">
        <v>7478</v>
      </c>
      <c r="D15" s="121">
        <v>9781522554738</v>
      </c>
      <c r="E15" s="121">
        <v>9781522554721</v>
      </c>
      <c r="F15" s="121" t="s">
        <v>6948</v>
      </c>
      <c r="G15" s="121">
        <v>4</v>
      </c>
      <c r="H15" s="121" t="s">
        <v>6518</v>
      </c>
      <c r="I15" s="121" t="s">
        <v>1424</v>
      </c>
      <c r="J15" s="121" t="s">
        <v>569</v>
      </c>
      <c r="K15" s="129">
        <v>2018</v>
      </c>
      <c r="L15" s="121" t="s">
        <v>7499</v>
      </c>
      <c r="M15" s="130" t="s">
        <v>7514</v>
      </c>
    </row>
    <row r="16" spans="1:13" ht="16.2">
      <c r="A16" s="121">
        <v>110</v>
      </c>
      <c r="B16" s="121" t="s">
        <v>5071</v>
      </c>
      <c r="C16" s="121" t="s">
        <v>7478</v>
      </c>
      <c r="D16" s="121">
        <v>9781522551416</v>
      </c>
      <c r="E16" s="121">
        <v>9781522551409</v>
      </c>
      <c r="F16" s="121" t="s">
        <v>6949</v>
      </c>
      <c r="G16" s="121">
        <v>1</v>
      </c>
      <c r="H16" s="121" t="s">
        <v>6518</v>
      </c>
      <c r="I16" s="121" t="s">
        <v>2918</v>
      </c>
      <c r="J16" s="121" t="s">
        <v>569</v>
      </c>
      <c r="K16" s="129">
        <v>2018</v>
      </c>
      <c r="L16" s="121" t="s">
        <v>7499</v>
      </c>
      <c r="M16" s="130" t="s">
        <v>7515</v>
      </c>
    </row>
    <row r="17" spans="1:13" ht="16.2">
      <c r="A17" s="121">
        <v>111</v>
      </c>
      <c r="B17" s="121" t="s">
        <v>5071</v>
      </c>
      <c r="C17" s="121" t="s">
        <v>7478</v>
      </c>
      <c r="D17" s="121">
        <v>9781522552802</v>
      </c>
      <c r="E17" s="121">
        <v>9781522552796</v>
      </c>
      <c r="F17" s="121" t="s">
        <v>6950</v>
      </c>
      <c r="G17" s="121">
        <v>1</v>
      </c>
      <c r="H17" s="121" t="s">
        <v>6518</v>
      </c>
      <c r="I17" s="121" t="s">
        <v>6951</v>
      </c>
      <c r="J17" s="121" t="s">
        <v>569</v>
      </c>
      <c r="K17" s="129">
        <v>2018</v>
      </c>
      <c r="L17" s="121" t="s">
        <v>7499</v>
      </c>
      <c r="M17" s="130" t="s">
        <v>7516</v>
      </c>
    </row>
    <row r="18" spans="1:13" ht="16.2">
      <c r="A18" s="121">
        <v>112</v>
      </c>
      <c r="B18" s="121" t="s">
        <v>5071</v>
      </c>
      <c r="C18" s="121" t="s">
        <v>7478</v>
      </c>
      <c r="D18" s="121">
        <v>9781522551072</v>
      </c>
      <c r="E18" s="121">
        <v>9781522551065</v>
      </c>
      <c r="F18" s="121" t="s">
        <v>6952</v>
      </c>
      <c r="G18" s="121">
        <v>1</v>
      </c>
      <c r="H18" s="121" t="s">
        <v>6518</v>
      </c>
      <c r="I18" s="121" t="s">
        <v>6953</v>
      </c>
      <c r="J18" s="121" t="s">
        <v>569</v>
      </c>
      <c r="K18" s="129">
        <v>2018</v>
      </c>
      <c r="L18" s="121" t="s">
        <v>7499</v>
      </c>
      <c r="M18" s="130" t="s">
        <v>7517</v>
      </c>
    </row>
    <row r="19" spans="1:13" ht="16.2">
      <c r="A19" s="121">
        <v>113</v>
      </c>
      <c r="B19" s="121" t="s">
        <v>5071</v>
      </c>
      <c r="C19" s="121" t="s">
        <v>7478</v>
      </c>
      <c r="D19" s="121">
        <v>9781522530541</v>
      </c>
      <c r="E19" s="121">
        <v>9781522530534</v>
      </c>
      <c r="F19" s="121" t="s">
        <v>6954</v>
      </c>
      <c r="G19" s="121">
        <v>1</v>
      </c>
      <c r="H19" s="121" t="s">
        <v>6518</v>
      </c>
      <c r="I19" s="121" t="s">
        <v>6955</v>
      </c>
      <c r="J19" s="121" t="s">
        <v>569</v>
      </c>
      <c r="K19" s="129">
        <v>2018</v>
      </c>
      <c r="L19" s="121" t="s">
        <v>7499</v>
      </c>
      <c r="M19" s="130" t="s">
        <v>7518</v>
      </c>
    </row>
    <row r="20" spans="1:13" ht="16.2">
      <c r="A20" s="121">
        <v>114</v>
      </c>
      <c r="B20" s="121" t="s">
        <v>5071</v>
      </c>
      <c r="C20" s="121" t="s">
        <v>7478</v>
      </c>
      <c r="D20" s="121">
        <v>9781522530695</v>
      </c>
      <c r="E20" s="121">
        <v>9781522530688</v>
      </c>
      <c r="F20" s="121" t="s">
        <v>6956</v>
      </c>
      <c r="G20" s="121">
        <v>1</v>
      </c>
      <c r="H20" s="121" t="s">
        <v>6518</v>
      </c>
      <c r="I20" s="121" t="s">
        <v>2912</v>
      </c>
      <c r="J20" s="121" t="s">
        <v>569</v>
      </c>
      <c r="K20" s="129">
        <v>2018</v>
      </c>
      <c r="L20" s="121" t="s">
        <v>7499</v>
      </c>
      <c r="M20" s="130" t="s">
        <v>7519</v>
      </c>
    </row>
    <row r="21" spans="1:13" ht="16.2">
      <c r="A21" s="121">
        <v>115</v>
      </c>
      <c r="B21" s="121" t="s">
        <v>5071</v>
      </c>
      <c r="C21" s="121" t="s">
        <v>7478</v>
      </c>
      <c r="D21" s="121">
        <v>9781522538332</v>
      </c>
      <c r="E21" s="121">
        <v>9781522538325</v>
      </c>
      <c r="F21" s="121" t="s">
        <v>6957</v>
      </c>
      <c r="G21" s="121">
        <v>2</v>
      </c>
      <c r="H21" s="121" t="s">
        <v>6518</v>
      </c>
      <c r="I21" s="121" t="s">
        <v>1424</v>
      </c>
      <c r="J21" s="121" t="s">
        <v>569</v>
      </c>
      <c r="K21" s="129">
        <v>2018</v>
      </c>
      <c r="L21" s="121" t="s">
        <v>7499</v>
      </c>
      <c r="M21" s="130" t="s">
        <v>7520</v>
      </c>
    </row>
    <row r="22" spans="1:13" ht="16.2">
      <c r="A22" s="121">
        <v>116</v>
      </c>
      <c r="B22" s="121" t="s">
        <v>5071</v>
      </c>
      <c r="C22" s="121" t="s">
        <v>7478</v>
      </c>
      <c r="D22" s="121">
        <v>9781522527800</v>
      </c>
      <c r="E22" s="121">
        <v>9781522527794</v>
      </c>
      <c r="F22" s="121" t="s">
        <v>6958</v>
      </c>
      <c r="G22" s="121">
        <v>1</v>
      </c>
      <c r="H22" s="121" t="s">
        <v>6518</v>
      </c>
      <c r="I22" s="121" t="s">
        <v>6959</v>
      </c>
      <c r="J22" s="121" t="s">
        <v>569</v>
      </c>
      <c r="K22" s="129">
        <v>2018</v>
      </c>
      <c r="L22" s="121" t="s">
        <v>7499</v>
      </c>
      <c r="M22" s="130" t="s">
        <v>7521</v>
      </c>
    </row>
    <row r="23" spans="1:13" ht="16.2">
      <c r="A23" s="121">
        <v>117</v>
      </c>
      <c r="B23" s="121" t="s">
        <v>5071</v>
      </c>
      <c r="C23" s="121" t="s">
        <v>7478</v>
      </c>
      <c r="D23" s="121">
        <v>9781522526834</v>
      </c>
      <c r="E23" s="121">
        <v>9781522526827</v>
      </c>
      <c r="F23" s="121" t="s">
        <v>6960</v>
      </c>
      <c r="G23" s="121">
        <v>1</v>
      </c>
      <c r="H23" s="121" t="s">
        <v>6518</v>
      </c>
      <c r="I23" s="121" t="s">
        <v>5286</v>
      </c>
      <c r="J23" s="121" t="s">
        <v>569</v>
      </c>
      <c r="K23" s="129">
        <v>2018</v>
      </c>
      <c r="L23" s="121" t="s">
        <v>7499</v>
      </c>
      <c r="M23" s="130" t="s">
        <v>7522</v>
      </c>
    </row>
    <row r="24" spans="1:13" ht="16.2">
      <c r="A24" s="121">
        <v>118</v>
      </c>
      <c r="B24" s="121" t="s">
        <v>5071</v>
      </c>
      <c r="C24" s="121" t="s">
        <v>7478</v>
      </c>
      <c r="D24" s="121">
        <v>9781522529255</v>
      </c>
      <c r="E24" s="121">
        <v>9781522529248</v>
      </c>
      <c r="F24" s="121" t="s">
        <v>6961</v>
      </c>
      <c r="G24" s="121">
        <v>1</v>
      </c>
      <c r="H24" s="121" t="s">
        <v>6518</v>
      </c>
      <c r="I24" s="121" t="s">
        <v>6962</v>
      </c>
      <c r="J24" s="121" t="s">
        <v>569</v>
      </c>
      <c r="K24" s="129">
        <v>2018</v>
      </c>
      <c r="L24" s="121" t="s">
        <v>7499</v>
      </c>
      <c r="M24" s="130" t="s">
        <v>7523</v>
      </c>
    </row>
    <row r="25" spans="1:13" ht="16.2">
      <c r="A25" s="121">
        <v>119</v>
      </c>
      <c r="B25" s="121" t="s">
        <v>5071</v>
      </c>
      <c r="C25" s="121" t="s">
        <v>7478</v>
      </c>
      <c r="D25" s="121">
        <v>9781522529347</v>
      </c>
      <c r="E25" s="121">
        <v>9781522529330</v>
      </c>
      <c r="F25" s="121" t="s">
        <v>6963</v>
      </c>
      <c r="G25" s="121">
        <v>1</v>
      </c>
      <c r="H25" s="121" t="s">
        <v>6518</v>
      </c>
      <c r="I25" s="121" t="s">
        <v>6964</v>
      </c>
      <c r="J25" s="121" t="s">
        <v>569</v>
      </c>
      <c r="K25" s="129">
        <v>2018</v>
      </c>
      <c r="L25" s="121" t="s">
        <v>7499</v>
      </c>
      <c r="M25" s="130" t="s">
        <v>7524</v>
      </c>
    </row>
    <row r="26" spans="1:13" ht="16.2">
      <c r="A26" s="121">
        <v>120</v>
      </c>
      <c r="B26" s="121" t="s">
        <v>5071</v>
      </c>
      <c r="C26" s="121" t="s">
        <v>7478</v>
      </c>
      <c r="D26" s="121">
        <v>9781522527251</v>
      </c>
      <c r="E26" s="121">
        <v>9781522527244</v>
      </c>
      <c r="F26" s="121" t="s">
        <v>6965</v>
      </c>
      <c r="G26" s="121">
        <v>1</v>
      </c>
      <c r="H26" s="121" t="s">
        <v>6518</v>
      </c>
      <c r="I26" s="121" t="s">
        <v>6966</v>
      </c>
      <c r="J26" s="121" t="s">
        <v>569</v>
      </c>
      <c r="K26" s="129">
        <v>2018</v>
      </c>
      <c r="L26" s="121" t="s">
        <v>7499</v>
      </c>
      <c r="M26" s="130" t="s">
        <v>7525</v>
      </c>
    </row>
    <row r="27" spans="1:13" ht="16.2">
      <c r="A27" s="121">
        <v>121</v>
      </c>
      <c r="B27" s="121" t="s">
        <v>5071</v>
      </c>
      <c r="C27" s="121" t="s">
        <v>7478</v>
      </c>
      <c r="D27" s="121">
        <v>9781522529828</v>
      </c>
      <c r="E27" s="121">
        <v>9781522529811</v>
      </c>
      <c r="F27" s="121" t="s">
        <v>6967</v>
      </c>
      <c r="G27" s="121">
        <v>1</v>
      </c>
      <c r="H27" s="121" t="s">
        <v>6518</v>
      </c>
      <c r="I27" s="121" t="s">
        <v>6968</v>
      </c>
      <c r="J27" s="121" t="s">
        <v>569</v>
      </c>
      <c r="K27" s="129">
        <v>2018</v>
      </c>
      <c r="L27" s="121" t="s">
        <v>7499</v>
      </c>
      <c r="M27" s="130" t="s">
        <v>7526</v>
      </c>
    </row>
    <row r="28" spans="1:13" ht="16.2">
      <c r="A28" s="121">
        <v>122</v>
      </c>
      <c r="B28" s="121" t="s">
        <v>5071</v>
      </c>
      <c r="C28" s="121" t="s">
        <v>7478</v>
      </c>
      <c r="D28" s="121">
        <v>9781522526865</v>
      </c>
      <c r="E28" s="121">
        <v>9781522526858</v>
      </c>
      <c r="F28" s="121" t="s">
        <v>6969</v>
      </c>
      <c r="G28" s="121">
        <v>1</v>
      </c>
      <c r="H28" s="121" t="s">
        <v>6518</v>
      </c>
      <c r="I28" s="121" t="s">
        <v>6970</v>
      </c>
      <c r="J28" s="121" t="s">
        <v>569</v>
      </c>
      <c r="K28" s="129">
        <v>2018</v>
      </c>
      <c r="L28" s="121" t="s">
        <v>7499</v>
      </c>
      <c r="M28" s="130" t="s">
        <v>7527</v>
      </c>
    </row>
    <row r="29" spans="1:13" ht="16.2">
      <c r="A29" s="121">
        <v>123</v>
      </c>
      <c r="B29" s="121" t="s">
        <v>5071</v>
      </c>
      <c r="C29" s="121" t="s">
        <v>7478</v>
      </c>
      <c r="D29" s="121">
        <v>9781522526148</v>
      </c>
      <c r="E29" s="121">
        <v>9781522526131</v>
      </c>
      <c r="F29" s="121" t="s">
        <v>6971</v>
      </c>
      <c r="G29" s="121">
        <v>1</v>
      </c>
      <c r="H29" s="121" t="s">
        <v>6518</v>
      </c>
      <c r="I29" s="121" t="s">
        <v>6972</v>
      </c>
      <c r="J29" s="121" t="s">
        <v>569</v>
      </c>
      <c r="K29" s="129">
        <v>2018</v>
      </c>
      <c r="L29" s="121" t="s">
        <v>7499</v>
      </c>
      <c r="M29" s="130" t="s">
        <v>7528</v>
      </c>
    </row>
    <row r="30" spans="1:13" ht="16.2">
      <c r="A30" s="121">
        <v>124</v>
      </c>
      <c r="B30" s="121" t="s">
        <v>5071</v>
      </c>
      <c r="C30" s="121" t="s">
        <v>7478</v>
      </c>
      <c r="D30" s="121">
        <v>9781522526315</v>
      </c>
      <c r="E30" s="121">
        <v>9781522526308</v>
      </c>
      <c r="F30" s="121" t="s">
        <v>6973</v>
      </c>
      <c r="G30" s="121">
        <v>1</v>
      </c>
      <c r="H30" s="121" t="s">
        <v>6518</v>
      </c>
      <c r="I30" s="121" t="s">
        <v>6974</v>
      </c>
      <c r="J30" s="121" t="s">
        <v>569</v>
      </c>
      <c r="K30" s="129">
        <v>2018</v>
      </c>
      <c r="L30" s="121" t="s">
        <v>7499</v>
      </c>
      <c r="M30" s="130" t="s">
        <v>7529</v>
      </c>
    </row>
    <row r="31" spans="1:13" ht="16.2">
      <c r="A31" s="121">
        <v>125</v>
      </c>
      <c r="B31" s="121" t="s">
        <v>5071</v>
      </c>
      <c r="C31" s="121" t="s">
        <v>7478</v>
      </c>
      <c r="D31" s="121">
        <v>9781522521839</v>
      </c>
      <c r="E31" s="121">
        <v>9781522521822</v>
      </c>
      <c r="F31" s="121" t="s">
        <v>6975</v>
      </c>
      <c r="G31" s="121">
        <v>1</v>
      </c>
      <c r="H31" s="121" t="s">
        <v>6518</v>
      </c>
      <c r="I31" s="121" t="s">
        <v>6976</v>
      </c>
      <c r="J31" s="121" t="s">
        <v>569</v>
      </c>
      <c r="K31" s="129">
        <v>2017</v>
      </c>
      <c r="L31" s="121" t="s">
        <v>7499</v>
      </c>
      <c r="M31" s="130" t="s">
        <v>7530</v>
      </c>
    </row>
    <row r="32" spans="1:13" ht="16.2">
      <c r="A32" s="121">
        <v>126</v>
      </c>
      <c r="B32" s="121" t="s">
        <v>5071</v>
      </c>
      <c r="C32" s="121" t="s">
        <v>7478</v>
      </c>
      <c r="D32" s="121">
        <v>9781522516934</v>
      </c>
      <c r="E32" s="121">
        <v>9781522516927</v>
      </c>
      <c r="F32" s="121" t="s">
        <v>6977</v>
      </c>
      <c r="G32" s="121">
        <v>1</v>
      </c>
      <c r="H32" s="121" t="s">
        <v>6518</v>
      </c>
      <c r="I32" s="121" t="s">
        <v>6978</v>
      </c>
      <c r="J32" s="121" t="s">
        <v>569</v>
      </c>
      <c r="K32" s="129">
        <v>2017</v>
      </c>
      <c r="L32" s="121" t="s">
        <v>7499</v>
      </c>
      <c r="M32" s="130" t="s">
        <v>7531</v>
      </c>
    </row>
    <row r="33" spans="1:13" ht="16.2">
      <c r="A33" s="121">
        <v>127</v>
      </c>
      <c r="B33" s="121" t="s">
        <v>5071</v>
      </c>
      <c r="C33" s="121" t="s">
        <v>7478</v>
      </c>
      <c r="D33" s="121">
        <v>9781522516514</v>
      </c>
      <c r="E33" s="121">
        <v>9781522516507</v>
      </c>
      <c r="F33" s="121" t="s">
        <v>6979</v>
      </c>
      <c r="G33" s="121">
        <v>1</v>
      </c>
      <c r="H33" s="121" t="s">
        <v>6518</v>
      </c>
      <c r="I33" s="121" t="s">
        <v>6980</v>
      </c>
      <c r="J33" s="121" t="s">
        <v>569</v>
      </c>
      <c r="K33" s="129">
        <v>2017</v>
      </c>
      <c r="L33" s="121" t="s">
        <v>7499</v>
      </c>
      <c r="M33" s="130" t="s">
        <v>7532</v>
      </c>
    </row>
    <row r="34" spans="1:13" ht="16.2">
      <c r="A34" s="121">
        <v>128</v>
      </c>
      <c r="B34" s="121" t="s">
        <v>5071</v>
      </c>
      <c r="C34" s="121" t="s">
        <v>7478</v>
      </c>
      <c r="D34" s="121">
        <v>9781522503606</v>
      </c>
      <c r="E34" s="121">
        <v>9781522503590</v>
      </c>
      <c r="F34" s="121" t="s">
        <v>6981</v>
      </c>
      <c r="G34" s="121">
        <v>1</v>
      </c>
      <c r="H34" s="121" t="s">
        <v>6518</v>
      </c>
      <c r="I34" s="121" t="s">
        <v>557</v>
      </c>
      <c r="J34" s="121" t="s">
        <v>569</v>
      </c>
      <c r="K34" s="129">
        <v>2016</v>
      </c>
      <c r="L34" s="121" t="s">
        <v>7499</v>
      </c>
      <c r="M34" s="130" t="s">
        <v>7533</v>
      </c>
    </row>
    <row r="35" spans="1:13" ht="16.2">
      <c r="A35" s="121">
        <v>129</v>
      </c>
      <c r="B35" s="121" t="s">
        <v>5071</v>
      </c>
      <c r="C35" s="121" t="s">
        <v>7478</v>
      </c>
      <c r="D35" s="121">
        <v>9781466688483</v>
      </c>
      <c r="E35" s="121">
        <v>9781466688476</v>
      </c>
      <c r="F35" s="121" t="s">
        <v>6982</v>
      </c>
      <c r="G35" s="121">
        <v>1</v>
      </c>
      <c r="H35" s="121" t="s">
        <v>6518</v>
      </c>
      <c r="I35" s="121" t="s">
        <v>6983</v>
      </c>
      <c r="J35" s="121" t="s">
        <v>569</v>
      </c>
      <c r="K35" s="129">
        <v>2016</v>
      </c>
      <c r="L35" s="121" t="s">
        <v>7499</v>
      </c>
      <c r="M35" s="130" t="s">
        <v>7534</v>
      </c>
    </row>
    <row r="36" spans="1:13" ht="16.2">
      <c r="A36" s="121">
        <v>130</v>
      </c>
      <c r="B36" s="121" t="s">
        <v>5071</v>
      </c>
      <c r="C36" s="121" t="s">
        <v>7482</v>
      </c>
      <c r="D36" s="121">
        <v>9781522532651</v>
      </c>
      <c r="E36" s="121">
        <v>9781522532644</v>
      </c>
      <c r="F36" s="121" t="s">
        <v>6984</v>
      </c>
      <c r="G36" s="121">
        <v>1</v>
      </c>
      <c r="H36" s="121" t="s">
        <v>6518</v>
      </c>
      <c r="I36" s="121" t="s">
        <v>6985</v>
      </c>
      <c r="J36" s="121" t="s">
        <v>569</v>
      </c>
      <c r="K36" s="129">
        <v>2018</v>
      </c>
      <c r="L36" s="121" t="s">
        <v>7499</v>
      </c>
      <c r="M36" s="130" t="s">
        <v>7535</v>
      </c>
    </row>
    <row r="37" spans="1:13" ht="16.2">
      <c r="A37" s="121">
        <v>131</v>
      </c>
      <c r="B37" s="121" t="s">
        <v>5071</v>
      </c>
      <c r="C37" s="121" t="s">
        <v>7482</v>
      </c>
      <c r="D37" s="121">
        <v>9781522541660</v>
      </c>
      <c r="E37" s="121">
        <v>9781522541653</v>
      </c>
      <c r="F37" s="121" t="s">
        <v>7536</v>
      </c>
      <c r="G37" s="121">
        <v>1</v>
      </c>
      <c r="H37" s="121" t="s">
        <v>6518</v>
      </c>
      <c r="I37" s="121" t="s">
        <v>6986</v>
      </c>
      <c r="J37" s="121" t="s">
        <v>569</v>
      </c>
      <c r="K37" s="129">
        <v>2018</v>
      </c>
      <c r="L37" s="121" t="s">
        <v>7499</v>
      </c>
      <c r="M37" s="130" t="s">
        <v>7537</v>
      </c>
    </row>
    <row r="38" spans="1:13" ht="16.2">
      <c r="A38" s="121">
        <v>132</v>
      </c>
      <c r="B38" s="121" t="s">
        <v>5071</v>
      </c>
      <c r="C38" s="121" t="s">
        <v>7483</v>
      </c>
      <c r="D38" s="121">
        <v>9781522540274</v>
      </c>
      <c r="E38" s="121">
        <v>9781522540267</v>
      </c>
      <c r="F38" s="121" t="s">
        <v>6987</v>
      </c>
      <c r="G38" s="121">
        <v>1</v>
      </c>
      <c r="H38" s="121" t="s">
        <v>6518</v>
      </c>
      <c r="I38" s="121" t="s">
        <v>6988</v>
      </c>
      <c r="J38" s="121" t="s">
        <v>568</v>
      </c>
      <c r="K38" s="129">
        <v>2018</v>
      </c>
      <c r="L38" s="121" t="s">
        <v>7499</v>
      </c>
      <c r="M38" s="130" t="s">
        <v>7538</v>
      </c>
    </row>
    <row r="39" spans="1:13" ht="16.2">
      <c r="A39" s="121">
        <v>133</v>
      </c>
      <c r="B39" s="121" t="s">
        <v>5071</v>
      </c>
      <c r="C39" s="121" t="s">
        <v>7483</v>
      </c>
      <c r="D39" s="121">
        <v>9781522541356</v>
      </c>
      <c r="E39" s="121">
        <v>9781522541349</v>
      </c>
      <c r="F39" s="121" t="s">
        <v>6989</v>
      </c>
      <c r="G39" s="121">
        <v>1</v>
      </c>
      <c r="H39" s="121" t="s">
        <v>6518</v>
      </c>
      <c r="I39" s="121" t="s">
        <v>6990</v>
      </c>
      <c r="J39" s="121" t="s">
        <v>568</v>
      </c>
      <c r="K39" s="129">
        <v>2018</v>
      </c>
      <c r="L39" s="121" t="s">
        <v>7499</v>
      </c>
      <c r="M39" s="130" t="s">
        <v>7539</v>
      </c>
    </row>
    <row r="40" spans="1:13" ht="16.2">
      <c r="A40" s="121">
        <v>134</v>
      </c>
      <c r="B40" s="121" t="s">
        <v>5071</v>
      </c>
      <c r="C40" s="121" t="s">
        <v>7483</v>
      </c>
      <c r="D40" s="121">
        <v>9781522537687</v>
      </c>
      <c r="E40" s="121">
        <v>9781522537670</v>
      </c>
      <c r="F40" s="121" t="s">
        <v>6991</v>
      </c>
      <c r="G40" s="121">
        <v>1</v>
      </c>
      <c r="H40" s="121" t="s">
        <v>6518</v>
      </c>
      <c r="I40" s="121" t="s">
        <v>6992</v>
      </c>
      <c r="J40" s="121" t="s">
        <v>568</v>
      </c>
      <c r="K40" s="129">
        <v>2018</v>
      </c>
      <c r="L40" s="121" t="s">
        <v>7499</v>
      </c>
      <c r="M40" s="130" t="s">
        <v>7540</v>
      </c>
    </row>
    <row r="41" spans="1:13" ht="16.2">
      <c r="A41" s="121">
        <v>135</v>
      </c>
      <c r="B41" s="121" t="s">
        <v>5071</v>
      </c>
      <c r="C41" s="121" t="s">
        <v>7483</v>
      </c>
      <c r="D41" s="121">
        <v>9781522549673</v>
      </c>
      <c r="E41" s="121">
        <v>9781522549666</v>
      </c>
      <c r="F41" s="121" t="s">
        <v>6993</v>
      </c>
      <c r="G41" s="121">
        <v>1</v>
      </c>
      <c r="H41" s="121" t="s">
        <v>6518</v>
      </c>
      <c r="I41" s="121" t="s">
        <v>6994</v>
      </c>
      <c r="J41" s="121" t="s">
        <v>568</v>
      </c>
      <c r="K41" s="129">
        <v>2018</v>
      </c>
      <c r="L41" s="121" t="s">
        <v>7499</v>
      </c>
      <c r="M41" s="130" t="s">
        <v>7541</v>
      </c>
    </row>
    <row r="42" spans="1:13" ht="16.2">
      <c r="A42" s="121">
        <v>136</v>
      </c>
      <c r="B42" s="121" t="s">
        <v>5071</v>
      </c>
      <c r="C42" s="121" t="s">
        <v>7483</v>
      </c>
      <c r="D42" s="121">
        <v>9781522549826</v>
      </c>
      <c r="E42" s="121">
        <v>9781522549819</v>
      </c>
      <c r="F42" s="121" t="s">
        <v>6995</v>
      </c>
      <c r="G42" s="121">
        <v>1</v>
      </c>
      <c r="H42" s="121" t="s">
        <v>6518</v>
      </c>
      <c r="I42" s="121" t="s">
        <v>6996</v>
      </c>
      <c r="J42" s="121" t="s">
        <v>568</v>
      </c>
      <c r="K42" s="129">
        <v>2018</v>
      </c>
      <c r="L42" s="121" t="s">
        <v>7499</v>
      </c>
      <c r="M42" s="130" t="s">
        <v>7542</v>
      </c>
    </row>
    <row r="43" spans="1:13" ht="16.2">
      <c r="A43" s="121">
        <v>137</v>
      </c>
      <c r="B43" s="121" t="s">
        <v>5071</v>
      </c>
      <c r="C43" s="121" t="s">
        <v>7483</v>
      </c>
      <c r="D43" s="121">
        <v>9781522541325</v>
      </c>
      <c r="E43" s="121">
        <v>9781522541318</v>
      </c>
      <c r="F43" s="121" t="s">
        <v>6997</v>
      </c>
      <c r="G43" s="121">
        <v>1</v>
      </c>
      <c r="H43" s="121" t="s">
        <v>6518</v>
      </c>
      <c r="I43" s="121" t="s">
        <v>6998</v>
      </c>
      <c r="J43" s="121" t="s">
        <v>568</v>
      </c>
      <c r="K43" s="129">
        <v>2018</v>
      </c>
      <c r="L43" s="121" t="s">
        <v>7499</v>
      </c>
      <c r="M43" s="130" t="s">
        <v>7543</v>
      </c>
    </row>
    <row r="44" spans="1:13" ht="16.2">
      <c r="A44" s="121">
        <v>138</v>
      </c>
      <c r="B44" s="121" t="s">
        <v>5071</v>
      </c>
      <c r="C44" s="121" t="s">
        <v>7483</v>
      </c>
      <c r="D44" s="121">
        <v>9781522538578</v>
      </c>
      <c r="E44" s="121">
        <v>9781522538561</v>
      </c>
      <c r="F44" s="121" t="s">
        <v>6999</v>
      </c>
      <c r="G44" s="121">
        <v>1</v>
      </c>
      <c r="H44" s="121" t="s">
        <v>6518</v>
      </c>
      <c r="I44" s="121" t="s">
        <v>6994</v>
      </c>
      <c r="J44" s="121" t="s">
        <v>568</v>
      </c>
      <c r="K44" s="129">
        <v>2018</v>
      </c>
      <c r="L44" s="121" t="s">
        <v>7499</v>
      </c>
      <c r="M44" s="130" t="s">
        <v>7544</v>
      </c>
    </row>
    <row r="45" spans="1:13" ht="16.2">
      <c r="A45" s="121">
        <v>139</v>
      </c>
      <c r="B45" s="121" t="s">
        <v>5071</v>
      </c>
      <c r="C45" s="121" t="s">
        <v>7483</v>
      </c>
      <c r="D45" s="121">
        <v>9781522527572</v>
      </c>
      <c r="E45" s="121">
        <v>9781522527565</v>
      </c>
      <c r="F45" s="121" t="s">
        <v>7000</v>
      </c>
      <c r="G45" s="121">
        <v>1</v>
      </c>
      <c r="H45" s="121" t="s">
        <v>6518</v>
      </c>
      <c r="I45" s="121" t="s">
        <v>7001</v>
      </c>
      <c r="J45" s="121" t="s">
        <v>568</v>
      </c>
      <c r="K45" s="129">
        <v>2018</v>
      </c>
      <c r="L45" s="121" t="s">
        <v>7499</v>
      </c>
      <c r="M45" s="130" t="s">
        <v>7545</v>
      </c>
    </row>
    <row r="46" spans="1:13" ht="16.2">
      <c r="A46" s="121">
        <v>140</v>
      </c>
      <c r="B46" s="121" t="s">
        <v>5071</v>
      </c>
      <c r="C46" s="121" t="s">
        <v>7483</v>
      </c>
      <c r="D46" s="121">
        <v>9781522526742</v>
      </c>
      <c r="E46" s="121">
        <v>9781522526735</v>
      </c>
      <c r="F46" s="121" t="s">
        <v>7002</v>
      </c>
      <c r="G46" s="121">
        <v>1</v>
      </c>
      <c r="H46" s="121" t="s">
        <v>6518</v>
      </c>
      <c r="I46" s="121" t="s">
        <v>7003</v>
      </c>
      <c r="J46" s="121" t="s">
        <v>568</v>
      </c>
      <c r="K46" s="129">
        <v>2018</v>
      </c>
      <c r="L46" s="121" t="s">
        <v>7499</v>
      </c>
      <c r="M46" s="130" t="s">
        <v>7546</v>
      </c>
    </row>
    <row r="47" spans="1:13" ht="16.2">
      <c r="A47" s="121">
        <v>141</v>
      </c>
      <c r="B47" s="121" t="s">
        <v>5071</v>
      </c>
      <c r="C47" s="121" t="s">
        <v>7483</v>
      </c>
      <c r="D47" s="121">
        <v>9781522533153</v>
      </c>
      <c r="E47" s="121">
        <v>9781522524588</v>
      </c>
      <c r="F47" s="121" t="s">
        <v>7004</v>
      </c>
      <c r="G47" s="121">
        <v>1</v>
      </c>
      <c r="H47" s="121" t="s">
        <v>6518</v>
      </c>
      <c r="I47" s="121" t="s">
        <v>7005</v>
      </c>
      <c r="J47" s="121" t="s">
        <v>568</v>
      </c>
      <c r="K47" s="129">
        <v>2017</v>
      </c>
      <c r="L47" s="121" t="s">
        <v>7499</v>
      </c>
      <c r="M47" s="130" t="s">
        <v>7547</v>
      </c>
    </row>
    <row r="48" spans="1:13" ht="16.2">
      <c r="A48" s="121">
        <v>142</v>
      </c>
      <c r="B48" s="121" t="s">
        <v>5071</v>
      </c>
      <c r="C48" s="121" t="s">
        <v>7483</v>
      </c>
      <c r="D48" s="121">
        <v>9781522535744</v>
      </c>
      <c r="E48" s="121">
        <v>9781522523642</v>
      </c>
      <c r="F48" s="121" t="s">
        <v>7006</v>
      </c>
      <c r="G48" s="121">
        <v>1</v>
      </c>
      <c r="H48" s="121" t="s">
        <v>6518</v>
      </c>
      <c r="I48" s="121" t="s">
        <v>5761</v>
      </c>
      <c r="J48" s="121" t="s">
        <v>568</v>
      </c>
      <c r="K48" s="129">
        <v>2017</v>
      </c>
      <c r="L48" s="121" t="s">
        <v>7499</v>
      </c>
      <c r="M48" s="130" t="s">
        <v>7548</v>
      </c>
    </row>
    <row r="49" spans="1:13" ht="16.2">
      <c r="A49" s="121">
        <v>143</v>
      </c>
      <c r="B49" s="121" t="s">
        <v>5071</v>
      </c>
      <c r="C49" s="121" t="s">
        <v>7483</v>
      </c>
      <c r="D49" s="121">
        <v>9781522504412</v>
      </c>
      <c r="E49" s="121">
        <v>9781522504405</v>
      </c>
      <c r="F49" s="121" t="s">
        <v>7007</v>
      </c>
      <c r="G49" s="121">
        <v>1</v>
      </c>
      <c r="H49" s="121" t="s">
        <v>6518</v>
      </c>
      <c r="I49" s="121" t="s">
        <v>7008</v>
      </c>
      <c r="J49" s="121" t="s">
        <v>568</v>
      </c>
      <c r="K49" s="129">
        <v>2016</v>
      </c>
      <c r="L49" s="121" t="s">
        <v>7499</v>
      </c>
      <c r="M49" s="130" t="s">
        <v>7549</v>
      </c>
    </row>
    <row r="50" spans="1:13" ht="16.2">
      <c r="A50" s="121">
        <v>144</v>
      </c>
      <c r="B50" s="121" t="s">
        <v>5071</v>
      </c>
      <c r="C50" s="121" t="s">
        <v>7483</v>
      </c>
      <c r="D50" s="121">
        <v>9781466673090</v>
      </c>
      <c r="E50" s="121">
        <v>9781466673083</v>
      </c>
      <c r="F50" s="121" t="s">
        <v>7009</v>
      </c>
      <c r="G50" s="121">
        <v>1</v>
      </c>
      <c r="H50" s="121" t="s">
        <v>6518</v>
      </c>
      <c r="I50" s="121" t="s">
        <v>7010</v>
      </c>
      <c r="J50" s="121" t="s">
        <v>568</v>
      </c>
      <c r="K50" s="129">
        <v>2015</v>
      </c>
      <c r="L50" s="121" t="s">
        <v>7499</v>
      </c>
      <c r="M50" s="130" t="s">
        <v>7550</v>
      </c>
    </row>
    <row r="51" spans="1:13" ht="16.2">
      <c r="A51" s="121">
        <v>145</v>
      </c>
      <c r="B51" s="121" t="s">
        <v>5071</v>
      </c>
      <c r="C51" s="121" t="s">
        <v>7485</v>
      </c>
      <c r="D51" s="121">
        <v>9781522541844</v>
      </c>
      <c r="E51" s="121">
        <v>9781522541837</v>
      </c>
      <c r="F51" s="121" t="s">
        <v>7011</v>
      </c>
      <c r="G51" s="121">
        <v>1</v>
      </c>
      <c r="H51" s="121" t="s">
        <v>6518</v>
      </c>
      <c r="I51" s="121" t="s">
        <v>6695</v>
      </c>
      <c r="J51" s="121" t="s">
        <v>569</v>
      </c>
      <c r="K51" s="129">
        <v>2018</v>
      </c>
      <c r="L51" s="121" t="s">
        <v>7499</v>
      </c>
      <c r="M51" s="130" t="s">
        <v>7551</v>
      </c>
    </row>
    <row r="52" spans="1:13" ht="16.2">
      <c r="A52" s="121">
        <v>146</v>
      </c>
      <c r="B52" s="121" t="s">
        <v>5071</v>
      </c>
      <c r="C52" s="121" t="s">
        <v>7485</v>
      </c>
      <c r="D52" s="121">
        <v>9781522547730</v>
      </c>
      <c r="E52" s="121">
        <v>9781522547723</v>
      </c>
      <c r="F52" s="121" t="s">
        <v>7552</v>
      </c>
      <c r="G52" s="121">
        <v>1</v>
      </c>
      <c r="H52" s="121" t="s">
        <v>6518</v>
      </c>
      <c r="I52" s="121" t="s">
        <v>7012</v>
      </c>
      <c r="J52" s="121" t="s">
        <v>569</v>
      </c>
      <c r="K52" s="129">
        <v>2018</v>
      </c>
      <c r="L52" s="121" t="s">
        <v>7499</v>
      </c>
      <c r="M52" s="130" t="s">
        <v>7553</v>
      </c>
    </row>
    <row r="53" spans="1:13" ht="16.2">
      <c r="A53" s="121">
        <v>147</v>
      </c>
      <c r="B53" s="121" t="s">
        <v>5071</v>
      </c>
      <c r="C53" s="121" t="s">
        <v>7485</v>
      </c>
      <c r="D53" s="121">
        <v>9781522528555</v>
      </c>
      <c r="E53" s="121">
        <v>9781522528548</v>
      </c>
      <c r="F53" s="121" t="s">
        <v>7013</v>
      </c>
      <c r="G53" s="121">
        <v>1</v>
      </c>
      <c r="H53" s="121" t="s">
        <v>6518</v>
      </c>
      <c r="I53" s="121" t="s">
        <v>7554</v>
      </c>
      <c r="J53" s="121" t="s">
        <v>569</v>
      </c>
      <c r="K53" s="129">
        <v>2018</v>
      </c>
      <c r="L53" s="121" t="s">
        <v>7499</v>
      </c>
      <c r="M53" s="130" t="s">
        <v>7555</v>
      </c>
    </row>
    <row r="54" spans="1:13" ht="16.2">
      <c r="A54" s="121">
        <v>148</v>
      </c>
      <c r="B54" s="121" t="s">
        <v>5071</v>
      </c>
      <c r="C54" s="121" t="s">
        <v>7485</v>
      </c>
      <c r="D54" s="121">
        <v>9781522553212</v>
      </c>
      <c r="E54" s="121">
        <v>9781522553205</v>
      </c>
      <c r="F54" s="121" t="s">
        <v>7014</v>
      </c>
      <c r="G54" s="121">
        <v>1</v>
      </c>
      <c r="H54" s="121" t="s">
        <v>6518</v>
      </c>
      <c r="I54" s="121" t="s">
        <v>2085</v>
      </c>
      <c r="J54" s="121" t="s">
        <v>569</v>
      </c>
      <c r="K54" s="129">
        <v>2018</v>
      </c>
      <c r="L54" s="121" t="s">
        <v>7499</v>
      </c>
      <c r="M54" s="130" t="s">
        <v>7556</v>
      </c>
    </row>
    <row r="55" spans="1:13" ht="16.2">
      <c r="A55" s="121">
        <v>149</v>
      </c>
      <c r="B55" s="121" t="s">
        <v>5071</v>
      </c>
      <c r="C55" s="121" t="s">
        <v>7485</v>
      </c>
      <c r="D55" s="121">
        <v>9781522541295</v>
      </c>
      <c r="E55" s="121">
        <v>9781522541288</v>
      </c>
      <c r="F55" s="121" t="s">
        <v>7015</v>
      </c>
      <c r="G55" s="121">
        <v>1</v>
      </c>
      <c r="H55" s="121" t="s">
        <v>6518</v>
      </c>
      <c r="I55" s="121" t="s">
        <v>7016</v>
      </c>
      <c r="J55" s="121" t="s">
        <v>569</v>
      </c>
      <c r="K55" s="129">
        <v>2018</v>
      </c>
      <c r="L55" s="121" t="s">
        <v>7499</v>
      </c>
      <c r="M55" s="130" t="s">
        <v>7557</v>
      </c>
    </row>
    <row r="56" spans="1:13" ht="16.2">
      <c r="A56" s="121">
        <v>150</v>
      </c>
      <c r="B56" s="121" t="s">
        <v>5071</v>
      </c>
      <c r="C56" s="121" t="s">
        <v>7485</v>
      </c>
      <c r="D56" s="121">
        <v>9781522549451</v>
      </c>
      <c r="E56" s="121">
        <v>9781522549444</v>
      </c>
      <c r="F56" s="121" t="s">
        <v>7017</v>
      </c>
      <c r="G56" s="121">
        <v>1</v>
      </c>
      <c r="H56" s="121" t="s">
        <v>6518</v>
      </c>
      <c r="I56" s="121" t="s">
        <v>3096</v>
      </c>
      <c r="J56" s="121" t="s">
        <v>569</v>
      </c>
      <c r="K56" s="129">
        <v>2018</v>
      </c>
      <c r="L56" s="121" t="s">
        <v>7499</v>
      </c>
      <c r="M56" s="130" t="s">
        <v>7558</v>
      </c>
    </row>
    <row r="57" spans="1:13" ht="16.2">
      <c r="A57" s="121">
        <v>151</v>
      </c>
      <c r="B57" s="121" t="s">
        <v>5071</v>
      </c>
      <c r="C57" s="121" t="s">
        <v>7485</v>
      </c>
      <c r="D57" s="121">
        <v>9781522530916</v>
      </c>
      <c r="E57" s="121">
        <v>9781522530909</v>
      </c>
      <c r="F57" s="121" t="s">
        <v>7018</v>
      </c>
      <c r="G57" s="121">
        <v>1</v>
      </c>
      <c r="H57" s="121" t="s">
        <v>6518</v>
      </c>
      <c r="I57" s="121" t="s">
        <v>7019</v>
      </c>
      <c r="J57" s="121" t="s">
        <v>569</v>
      </c>
      <c r="K57" s="129">
        <v>2018</v>
      </c>
      <c r="L57" s="121" t="s">
        <v>7499</v>
      </c>
      <c r="M57" s="130" t="s">
        <v>7559</v>
      </c>
    </row>
    <row r="58" spans="1:13" ht="16.2">
      <c r="A58" s="121">
        <v>152</v>
      </c>
      <c r="B58" s="121" t="s">
        <v>5071</v>
      </c>
      <c r="C58" s="121" t="s">
        <v>7485</v>
      </c>
      <c r="D58" s="121">
        <v>9781522534785</v>
      </c>
      <c r="E58" s="121">
        <v>9781522534778</v>
      </c>
      <c r="F58" s="121" t="s">
        <v>7020</v>
      </c>
      <c r="G58" s="121">
        <v>1</v>
      </c>
      <c r="H58" s="121" t="s">
        <v>6518</v>
      </c>
      <c r="I58" s="121" t="s">
        <v>7021</v>
      </c>
      <c r="J58" s="121" t="s">
        <v>569</v>
      </c>
      <c r="K58" s="129">
        <v>2018</v>
      </c>
      <c r="L58" s="121" t="s">
        <v>7499</v>
      </c>
      <c r="M58" s="130" t="s">
        <v>7560</v>
      </c>
    </row>
    <row r="59" spans="1:13" ht="16.2">
      <c r="A59" s="121">
        <v>153</v>
      </c>
      <c r="B59" s="121" t="s">
        <v>5071</v>
      </c>
      <c r="C59" s="121" t="s">
        <v>7485</v>
      </c>
      <c r="D59" s="121">
        <v>9781522528180</v>
      </c>
      <c r="E59" s="121">
        <v>9781522528173</v>
      </c>
      <c r="F59" s="121" t="s">
        <v>7022</v>
      </c>
      <c r="G59" s="121">
        <v>1</v>
      </c>
      <c r="H59" s="121" t="s">
        <v>6518</v>
      </c>
      <c r="I59" s="121" t="s">
        <v>1544</v>
      </c>
      <c r="J59" s="121" t="s">
        <v>569</v>
      </c>
      <c r="K59" s="129">
        <v>2018</v>
      </c>
      <c r="L59" s="121" t="s">
        <v>7499</v>
      </c>
      <c r="M59" s="130" t="s">
        <v>7561</v>
      </c>
    </row>
    <row r="60" spans="1:13" ht="16.2">
      <c r="A60" s="121">
        <v>154</v>
      </c>
      <c r="B60" s="121" t="s">
        <v>5071</v>
      </c>
      <c r="C60" s="121" t="s">
        <v>7485</v>
      </c>
      <c r="D60" s="121">
        <v>9781522539186</v>
      </c>
      <c r="E60" s="121">
        <v>9781522539179</v>
      </c>
      <c r="F60" s="121" t="s">
        <v>7023</v>
      </c>
      <c r="G60" s="121">
        <v>2</v>
      </c>
      <c r="H60" s="121" t="s">
        <v>6518</v>
      </c>
      <c r="I60" s="121" t="s">
        <v>1424</v>
      </c>
      <c r="J60" s="121" t="s">
        <v>568</v>
      </c>
      <c r="K60" s="129">
        <v>2018</v>
      </c>
      <c r="L60" s="121" t="s">
        <v>7499</v>
      </c>
      <c r="M60" s="130" t="s">
        <v>7562</v>
      </c>
    </row>
    <row r="61" spans="1:13" ht="16.2">
      <c r="A61" s="121">
        <v>155</v>
      </c>
      <c r="B61" s="121" t="s">
        <v>5071</v>
      </c>
      <c r="C61" s="121" t="s">
        <v>7485</v>
      </c>
      <c r="D61" s="121">
        <v>9781522528333</v>
      </c>
      <c r="E61" s="121">
        <v>9781522528326</v>
      </c>
      <c r="F61" s="121" t="s">
        <v>7024</v>
      </c>
      <c r="G61" s="121">
        <v>1</v>
      </c>
      <c r="H61" s="121" t="s">
        <v>6518</v>
      </c>
      <c r="I61" s="121" t="s">
        <v>7025</v>
      </c>
      <c r="J61" s="121" t="s">
        <v>569</v>
      </c>
      <c r="K61" s="129">
        <v>2018</v>
      </c>
      <c r="L61" s="121" t="s">
        <v>7499</v>
      </c>
      <c r="M61" s="130" t="s">
        <v>7563</v>
      </c>
    </row>
    <row r="62" spans="1:13" ht="16.2">
      <c r="A62" s="121">
        <v>156</v>
      </c>
      <c r="B62" s="121" t="s">
        <v>5071</v>
      </c>
      <c r="C62" s="121" t="s">
        <v>7485</v>
      </c>
      <c r="D62" s="121">
        <v>9781522528647</v>
      </c>
      <c r="E62" s="121">
        <v>9781522528630</v>
      </c>
      <c r="F62" s="121" t="s">
        <v>7026</v>
      </c>
      <c r="G62" s="121">
        <v>1</v>
      </c>
      <c r="H62" s="121" t="s">
        <v>6518</v>
      </c>
      <c r="I62" s="121" t="s">
        <v>7027</v>
      </c>
      <c r="J62" s="121" t="s">
        <v>569</v>
      </c>
      <c r="K62" s="129">
        <v>2018</v>
      </c>
      <c r="L62" s="121" t="s">
        <v>7499</v>
      </c>
      <c r="M62" s="130" t="s">
        <v>7564</v>
      </c>
    </row>
    <row r="63" spans="1:13" ht="16.2">
      <c r="A63" s="121">
        <v>157</v>
      </c>
      <c r="B63" s="121" t="s">
        <v>5071</v>
      </c>
      <c r="C63" s="121" t="s">
        <v>7485</v>
      </c>
      <c r="D63" s="121">
        <v>9781522525790</v>
      </c>
      <c r="E63" s="121">
        <v>9781522525783</v>
      </c>
      <c r="F63" s="121" t="s">
        <v>7028</v>
      </c>
      <c r="G63" s="121">
        <v>1</v>
      </c>
      <c r="H63" s="121" t="s">
        <v>6518</v>
      </c>
      <c r="I63" s="121" t="s">
        <v>7029</v>
      </c>
      <c r="J63" s="121" t="s">
        <v>569</v>
      </c>
      <c r="K63" s="129">
        <v>2018</v>
      </c>
      <c r="L63" s="121" t="s">
        <v>7499</v>
      </c>
      <c r="M63" s="130" t="s">
        <v>7565</v>
      </c>
    </row>
    <row r="64" spans="1:13" ht="16.2">
      <c r="A64" s="121">
        <v>158</v>
      </c>
      <c r="B64" s="121" t="s">
        <v>5071</v>
      </c>
      <c r="C64" s="121" t="s">
        <v>7485</v>
      </c>
      <c r="D64" s="121">
        <v>9781522526179</v>
      </c>
      <c r="E64" s="121">
        <v>9781522526162</v>
      </c>
      <c r="F64" s="121" t="s">
        <v>7030</v>
      </c>
      <c r="G64" s="121">
        <v>1</v>
      </c>
      <c r="H64" s="121" t="s">
        <v>6518</v>
      </c>
      <c r="I64" s="121" t="s">
        <v>7031</v>
      </c>
      <c r="J64" s="121" t="s">
        <v>569</v>
      </c>
      <c r="K64" s="129">
        <v>2018</v>
      </c>
      <c r="L64" s="121" t="s">
        <v>7499</v>
      </c>
      <c r="M64" s="130" t="s">
        <v>7566</v>
      </c>
    </row>
    <row r="65" spans="1:13" ht="16.2">
      <c r="A65" s="121">
        <v>159</v>
      </c>
      <c r="B65" s="121" t="s">
        <v>5071</v>
      </c>
      <c r="C65" s="121" t="s">
        <v>7485</v>
      </c>
      <c r="D65" s="121">
        <v>9781522526605</v>
      </c>
      <c r="E65" s="121">
        <v>9781522526599</v>
      </c>
      <c r="F65" s="121" t="s">
        <v>7032</v>
      </c>
      <c r="G65" s="121">
        <v>1</v>
      </c>
      <c r="H65" s="121" t="s">
        <v>6518</v>
      </c>
      <c r="I65" s="121" t="s">
        <v>7033</v>
      </c>
      <c r="J65" s="121" t="s">
        <v>569</v>
      </c>
      <c r="K65" s="129">
        <v>2018</v>
      </c>
      <c r="L65" s="121" t="s">
        <v>7499</v>
      </c>
      <c r="M65" s="130" t="s">
        <v>7567</v>
      </c>
    </row>
    <row r="66" spans="1:13" ht="16.2">
      <c r="A66" s="121">
        <v>160</v>
      </c>
      <c r="B66" s="121" t="s">
        <v>5071</v>
      </c>
      <c r="C66" s="121" t="s">
        <v>7486</v>
      </c>
      <c r="D66" s="121">
        <v>9781522530022</v>
      </c>
      <c r="E66" s="121">
        <v>9781522530015</v>
      </c>
      <c r="F66" s="121" t="s">
        <v>7034</v>
      </c>
      <c r="G66" s="121">
        <v>1</v>
      </c>
      <c r="H66" s="121" t="s">
        <v>6518</v>
      </c>
      <c r="I66" s="121" t="s">
        <v>7035</v>
      </c>
      <c r="J66" s="121" t="s">
        <v>569</v>
      </c>
      <c r="K66" s="129">
        <v>2019</v>
      </c>
      <c r="L66" s="121" t="s">
        <v>7499</v>
      </c>
      <c r="M66" s="130" t="s">
        <v>7568</v>
      </c>
    </row>
    <row r="67" spans="1:13" ht="16.2">
      <c r="A67" s="121">
        <v>161</v>
      </c>
      <c r="B67" s="121" t="s">
        <v>5071</v>
      </c>
      <c r="C67" s="121" t="s">
        <v>7486</v>
      </c>
      <c r="D67" s="121">
        <v>9781522553588</v>
      </c>
      <c r="E67" s="121">
        <v>9781522553571</v>
      </c>
      <c r="F67" s="121" t="s">
        <v>7036</v>
      </c>
      <c r="G67" s="121">
        <v>1</v>
      </c>
      <c r="H67" s="121" t="s">
        <v>6518</v>
      </c>
      <c r="I67" s="121" t="s">
        <v>7037</v>
      </c>
      <c r="J67" s="121" t="s">
        <v>569</v>
      </c>
      <c r="K67" s="129">
        <v>2019</v>
      </c>
      <c r="L67" s="121" t="s">
        <v>7499</v>
      </c>
      <c r="M67" s="130" t="s">
        <v>7569</v>
      </c>
    </row>
    <row r="68" spans="1:13" ht="16.2">
      <c r="A68" s="121">
        <v>162</v>
      </c>
      <c r="B68" s="121" t="s">
        <v>5071</v>
      </c>
      <c r="C68" s="121" t="s">
        <v>7486</v>
      </c>
      <c r="D68" s="121">
        <v>9781522553557</v>
      </c>
      <c r="E68" s="121">
        <v>9781522553540</v>
      </c>
      <c r="F68" s="121" t="s">
        <v>7038</v>
      </c>
      <c r="G68" s="121">
        <v>1</v>
      </c>
      <c r="H68" s="121" t="s">
        <v>6518</v>
      </c>
      <c r="I68" s="121" t="s">
        <v>7039</v>
      </c>
      <c r="J68" s="121" t="s">
        <v>569</v>
      </c>
      <c r="K68" s="129">
        <v>2019</v>
      </c>
      <c r="L68" s="121" t="s">
        <v>7499</v>
      </c>
      <c r="M68" s="130" t="s">
        <v>7570</v>
      </c>
    </row>
    <row r="69" spans="1:13" ht="16.2">
      <c r="A69" s="121">
        <v>165</v>
      </c>
      <c r="B69" s="121" t="s">
        <v>5071</v>
      </c>
      <c r="C69" s="121" t="s">
        <v>7486</v>
      </c>
      <c r="D69" s="121">
        <v>9781522555933</v>
      </c>
      <c r="E69" s="121">
        <v>9781522555926</v>
      </c>
      <c r="F69" s="121" t="s">
        <v>7040</v>
      </c>
      <c r="G69" s="121">
        <v>1</v>
      </c>
      <c r="H69" s="121" t="s">
        <v>6518</v>
      </c>
      <c r="I69" s="121" t="s">
        <v>7041</v>
      </c>
      <c r="J69" s="121" t="s">
        <v>569</v>
      </c>
      <c r="K69" s="129">
        <v>2019</v>
      </c>
      <c r="L69" s="121" t="s">
        <v>7499</v>
      </c>
      <c r="M69" s="130" t="s">
        <v>7571</v>
      </c>
    </row>
    <row r="70" spans="1:13" ht="16.2">
      <c r="A70" s="121">
        <v>166</v>
      </c>
      <c r="B70" s="121" t="s">
        <v>5071</v>
      </c>
      <c r="C70" s="121" t="s">
        <v>7486</v>
      </c>
      <c r="D70" s="121">
        <v>9781522540489</v>
      </c>
      <c r="E70" s="121">
        <v>9781522540472</v>
      </c>
      <c r="F70" s="121" t="s">
        <v>7042</v>
      </c>
      <c r="G70" s="121">
        <v>1</v>
      </c>
      <c r="H70" s="121" t="s">
        <v>6518</v>
      </c>
      <c r="I70" s="121" t="s">
        <v>7043</v>
      </c>
      <c r="J70" s="121" t="s">
        <v>569</v>
      </c>
      <c r="K70" s="129">
        <v>2019</v>
      </c>
      <c r="L70" s="121" t="s">
        <v>7499</v>
      </c>
      <c r="M70" s="130" t="s">
        <v>7572</v>
      </c>
    </row>
    <row r="71" spans="1:13" ht="16.2">
      <c r="A71" s="121">
        <v>163</v>
      </c>
      <c r="B71" s="121" t="s">
        <v>5071</v>
      </c>
      <c r="C71" s="121" t="s">
        <v>7486</v>
      </c>
      <c r="D71" s="121">
        <v>9781522553274</v>
      </c>
      <c r="E71" s="121">
        <v>9781522553267</v>
      </c>
      <c r="F71" s="121" t="s">
        <v>7044</v>
      </c>
      <c r="G71" s="121">
        <v>1</v>
      </c>
      <c r="H71" s="121" t="s">
        <v>6518</v>
      </c>
      <c r="I71" s="121" t="s">
        <v>7045</v>
      </c>
      <c r="J71" s="121" t="s">
        <v>569</v>
      </c>
      <c r="K71" s="129">
        <v>2018</v>
      </c>
      <c r="L71" s="121" t="s">
        <v>7499</v>
      </c>
      <c r="M71" s="130" t="s">
        <v>7573</v>
      </c>
    </row>
    <row r="72" spans="1:13" ht="16.2">
      <c r="A72" s="121">
        <v>164</v>
      </c>
      <c r="B72" s="121" t="s">
        <v>5071</v>
      </c>
      <c r="C72" s="121" t="s">
        <v>7486</v>
      </c>
      <c r="D72" s="121">
        <v>9781522552710</v>
      </c>
      <c r="E72" s="121">
        <v>9781522552703</v>
      </c>
      <c r="F72" s="121" t="s">
        <v>7046</v>
      </c>
      <c r="G72" s="121">
        <v>1</v>
      </c>
      <c r="H72" s="121" t="s">
        <v>6518</v>
      </c>
      <c r="I72" s="121" t="s">
        <v>7047</v>
      </c>
      <c r="J72" s="121" t="s">
        <v>569</v>
      </c>
      <c r="K72" s="129">
        <v>2018</v>
      </c>
      <c r="L72" s="121" t="s">
        <v>7499</v>
      </c>
      <c r="M72" s="130" t="s">
        <v>7574</v>
      </c>
    </row>
    <row r="73" spans="1:13" ht="16.2">
      <c r="A73" s="121">
        <v>167</v>
      </c>
      <c r="B73" s="121" t="s">
        <v>5071</v>
      </c>
      <c r="C73" s="121" t="s">
        <v>7486</v>
      </c>
      <c r="D73" s="121">
        <v>9781522550242</v>
      </c>
      <c r="E73" s="121">
        <v>9781522550235</v>
      </c>
      <c r="F73" s="121" t="s">
        <v>7048</v>
      </c>
      <c r="G73" s="121">
        <v>1</v>
      </c>
      <c r="H73" s="121" t="s">
        <v>6518</v>
      </c>
      <c r="I73" s="121" t="s">
        <v>2596</v>
      </c>
      <c r="J73" s="121" t="s">
        <v>569</v>
      </c>
      <c r="K73" s="129">
        <v>2018</v>
      </c>
      <c r="L73" s="121" t="s">
        <v>7499</v>
      </c>
      <c r="M73" s="130" t="s">
        <v>7575</v>
      </c>
    </row>
    <row r="74" spans="1:13" ht="16.2">
      <c r="A74" s="121">
        <v>168</v>
      </c>
      <c r="B74" s="121" t="s">
        <v>5071</v>
      </c>
      <c r="C74" s="121" t="s">
        <v>7486</v>
      </c>
      <c r="D74" s="121">
        <v>9781522537854</v>
      </c>
      <c r="E74" s="121">
        <v>9781522537847</v>
      </c>
      <c r="F74" s="121" t="s">
        <v>7049</v>
      </c>
      <c r="G74" s="121">
        <v>1</v>
      </c>
      <c r="H74" s="121" t="s">
        <v>6518</v>
      </c>
      <c r="I74" s="121" t="s">
        <v>7050</v>
      </c>
      <c r="J74" s="121" t="s">
        <v>569</v>
      </c>
      <c r="K74" s="129">
        <v>2018</v>
      </c>
      <c r="L74" s="121" t="s">
        <v>7499</v>
      </c>
      <c r="M74" s="130" t="s">
        <v>7576</v>
      </c>
    </row>
    <row r="75" spans="1:13" ht="16.2">
      <c r="A75" s="121">
        <v>169</v>
      </c>
      <c r="B75" s="121" t="s">
        <v>5071</v>
      </c>
      <c r="C75" s="121" t="s">
        <v>7486</v>
      </c>
      <c r="D75" s="121">
        <v>9781522552864</v>
      </c>
      <c r="E75" s="121">
        <v>9781522552857</v>
      </c>
      <c r="F75" s="121" t="s">
        <v>7051</v>
      </c>
      <c r="G75" s="121">
        <v>1</v>
      </c>
      <c r="H75" s="121" t="s">
        <v>6518</v>
      </c>
      <c r="I75" s="121" t="s">
        <v>7052</v>
      </c>
      <c r="J75" s="121" t="s">
        <v>569</v>
      </c>
      <c r="K75" s="129">
        <v>2018</v>
      </c>
      <c r="L75" s="121" t="s">
        <v>7499</v>
      </c>
      <c r="M75" s="130" t="s">
        <v>7577</v>
      </c>
    </row>
    <row r="76" spans="1:13" ht="16.2">
      <c r="A76" s="121">
        <v>170</v>
      </c>
      <c r="B76" s="121" t="s">
        <v>5071</v>
      </c>
      <c r="C76" s="121" t="s">
        <v>7486</v>
      </c>
      <c r="D76" s="121">
        <v>9781522547761</v>
      </c>
      <c r="E76" s="121">
        <v>9781522547754</v>
      </c>
      <c r="F76" s="121" t="s">
        <v>7053</v>
      </c>
      <c r="G76" s="121">
        <v>1</v>
      </c>
      <c r="H76" s="121" t="s">
        <v>6518</v>
      </c>
      <c r="I76" s="121" t="s">
        <v>7054</v>
      </c>
      <c r="J76" s="121" t="s">
        <v>569</v>
      </c>
      <c r="K76" s="129">
        <v>2018</v>
      </c>
      <c r="L76" s="121" t="s">
        <v>7499</v>
      </c>
      <c r="M76" s="130" t="s">
        <v>7578</v>
      </c>
    </row>
    <row r="77" spans="1:13" ht="16.2">
      <c r="A77" s="121">
        <v>171</v>
      </c>
      <c r="B77" s="121" t="s">
        <v>5071</v>
      </c>
      <c r="C77" s="121" t="s">
        <v>7486</v>
      </c>
      <c r="D77" s="121">
        <v>9781522556237</v>
      </c>
      <c r="E77" s="121">
        <v>9781522556220</v>
      </c>
      <c r="F77" s="121" t="s">
        <v>7055</v>
      </c>
      <c r="G77" s="121">
        <v>1</v>
      </c>
      <c r="H77" s="121" t="s">
        <v>6518</v>
      </c>
      <c r="I77" s="121" t="s">
        <v>7056</v>
      </c>
      <c r="J77" s="121" t="s">
        <v>569</v>
      </c>
      <c r="K77" s="129">
        <v>2018</v>
      </c>
      <c r="L77" s="121" t="s">
        <v>7499</v>
      </c>
      <c r="M77" s="130" t="s">
        <v>7579</v>
      </c>
    </row>
    <row r="78" spans="1:13" ht="16.2">
      <c r="A78" s="121">
        <v>172</v>
      </c>
      <c r="B78" s="121" t="s">
        <v>5071</v>
      </c>
      <c r="C78" s="121" t="s">
        <v>7486</v>
      </c>
      <c r="D78" s="121">
        <v>9781522537823</v>
      </c>
      <c r="E78" s="121">
        <v>9781522537816</v>
      </c>
      <c r="F78" s="121" t="s">
        <v>7057</v>
      </c>
      <c r="G78" s="121">
        <v>1</v>
      </c>
      <c r="H78" s="121" t="s">
        <v>6518</v>
      </c>
      <c r="I78" s="121" t="s">
        <v>7058</v>
      </c>
      <c r="J78" s="121" t="s">
        <v>569</v>
      </c>
      <c r="K78" s="129">
        <v>2018</v>
      </c>
      <c r="L78" s="121" t="s">
        <v>7499</v>
      </c>
      <c r="M78" s="130" t="s">
        <v>7580</v>
      </c>
    </row>
    <row r="79" spans="1:13" ht="16.2">
      <c r="A79" s="121">
        <v>173</v>
      </c>
      <c r="B79" s="121" t="s">
        <v>5071</v>
      </c>
      <c r="C79" s="121" t="s">
        <v>7486</v>
      </c>
      <c r="D79" s="121">
        <v>9781522531807</v>
      </c>
      <c r="E79" s="121">
        <v>9781522531791</v>
      </c>
      <c r="F79" s="121" t="s">
        <v>7059</v>
      </c>
      <c r="G79" s="121">
        <v>1</v>
      </c>
      <c r="H79" s="121" t="s">
        <v>6518</v>
      </c>
      <c r="I79" s="121" t="s">
        <v>7060</v>
      </c>
      <c r="J79" s="121" t="s">
        <v>569</v>
      </c>
      <c r="K79" s="129">
        <v>2018</v>
      </c>
      <c r="L79" s="121" t="s">
        <v>7499</v>
      </c>
      <c r="M79" s="130" t="s">
        <v>7581</v>
      </c>
    </row>
    <row r="80" spans="1:13" ht="16.2">
      <c r="A80" s="121">
        <v>174</v>
      </c>
      <c r="B80" s="121" t="s">
        <v>5071</v>
      </c>
      <c r="C80" s="121" t="s">
        <v>7486</v>
      </c>
      <c r="D80" s="121">
        <v>9781522538035</v>
      </c>
      <c r="E80" s="121">
        <v>9781522538028</v>
      </c>
      <c r="F80" s="121" t="s">
        <v>7061</v>
      </c>
      <c r="G80" s="121">
        <v>1</v>
      </c>
      <c r="H80" s="121" t="s">
        <v>6518</v>
      </c>
      <c r="I80" s="121" t="s">
        <v>1809</v>
      </c>
      <c r="J80" s="121" t="s">
        <v>569</v>
      </c>
      <c r="K80" s="129">
        <v>2018</v>
      </c>
      <c r="L80" s="121" t="s">
        <v>7499</v>
      </c>
      <c r="M80" s="130" t="s">
        <v>7582</v>
      </c>
    </row>
    <row r="81" spans="1:13" ht="16.2">
      <c r="A81" s="121">
        <v>175</v>
      </c>
      <c r="B81" s="121" t="s">
        <v>5071</v>
      </c>
      <c r="C81" s="121" t="s">
        <v>7486</v>
      </c>
      <c r="D81" s="121">
        <v>9781522539308</v>
      </c>
      <c r="E81" s="121">
        <v>9781522539292</v>
      </c>
      <c r="F81" s="121" t="s">
        <v>7062</v>
      </c>
      <c r="G81" s="121">
        <v>1</v>
      </c>
      <c r="H81" s="121" t="s">
        <v>6518</v>
      </c>
      <c r="I81" s="121" t="s">
        <v>1424</v>
      </c>
      <c r="J81" s="121" t="s">
        <v>569</v>
      </c>
      <c r="K81" s="129">
        <v>2018</v>
      </c>
      <c r="L81" s="121" t="s">
        <v>7499</v>
      </c>
      <c r="M81" s="130" t="s">
        <v>7583</v>
      </c>
    </row>
    <row r="82" spans="1:13" ht="16.2">
      <c r="A82" s="121">
        <v>176</v>
      </c>
      <c r="B82" s="121" t="s">
        <v>5071</v>
      </c>
      <c r="C82" s="121" t="s">
        <v>7486</v>
      </c>
      <c r="D82" s="121">
        <v>9781522527541</v>
      </c>
      <c r="E82" s="121">
        <v>9781522527534</v>
      </c>
      <c r="F82" s="121" t="s">
        <v>7063</v>
      </c>
      <c r="G82" s="121">
        <v>1</v>
      </c>
      <c r="H82" s="121" t="s">
        <v>6518</v>
      </c>
      <c r="I82" s="121" t="s">
        <v>7064</v>
      </c>
      <c r="J82" s="121" t="s">
        <v>568</v>
      </c>
      <c r="K82" s="129">
        <v>2018</v>
      </c>
      <c r="L82" s="121" t="s">
        <v>7499</v>
      </c>
      <c r="M82" s="130" t="s">
        <v>7584</v>
      </c>
    </row>
    <row r="83" spans="1:13" ht="16.2">
      <c r="A83" s="121">
        <v>177</v>
      </c>
      <c r="B83" s="121" t="s">
        <v>5071</v>
      </c>
      <c r="C83" s="121" t="s">
        <v>7486</v>
      </c>
      <c r="D83" s="121">
        <v>9781522533740</v>
      </c>
      <c r="E83" s="121">
        <v>9781522533733</v>
      </c>
      <c r="F83" s="121" t="s">
        <v>7065</v>
      </c>
      <c r="G83" s="121">
        <v>1</v>
      </c>
      <c r="H83" s="121" t="s">
        <v>6518</v>
      </c>
      <c r="I83" s="121" t="s">
        <v>1069</v>
      </c>
      <c r="J83" s="121" t="s">
        <v>569</v>
      </c>
      <c r="K83" s="129">
        <v>2018</v>
      </c>
      <c r="L83" s="121" t="s">
        <v>7499</v>
      </c>
      <c r="M83" s="130" t="s">
        <v>7585</v>
      </c>
    </row>
    <row r="84" spans="1:13" ht="16.2">
      <c r="A84" s="121">
        <v>178</v>
      </c>
      <c r="B84" s="121" t="s">
        <v>5071</v>
      </c>
      <c r="C84" s="121" t="s">
        <v>7486</v>
      </c>
      <c r="D84" s="121">
        <v>9781522534464</v>
      </c>
      <c r="E84" s="121">
        <v>9781522534457</v>
      </c>
      <c r="F84" s="121" t="s">
        <v>7066</v>
      </c>
      <c r="G84" s="121">
        <v>1</v>
      </c>
      <c r="H84" s="121" t="s">
        <v>6518</v>
      </c>
      <c r="I84" s="121" t="s">
        <v>7067</v>
      </c>
      <c r="J84" s="121" t="s">
        <v>569</v>
      </c>
      <c r="K84" s="129">
        <v>2018</v>
      </c>
      <c r="L84" s="121" t="s">
        <v>7499</v>
      </c>
      <c r="M84" s="130" t="s">
        <v>7586</v>
      </c>
    </row>
    <row r="85" spans="1:13" ht="16.2">
      <c r="A85" s="121">
        <v>179</v>
      </c>
      <c r="B85" s="121" t="s">
        <v>5071</v>
      </c>
      <c r="C85" s="121" t="s">
        <v>7486</v>
      </c>
      <c r="D85" s="121">
        <v>9781522527602</v>
      </c>
      <c r="E85" s="121">
        <v>9781522527596</v>
      </c>
      <c r="F85" s="121" t="s">
        <v>7068</v>
      </c>
      <c r="G85" s="121">
        <v>1</v>
      </c>
      <c r="H85" s="121" t="s">
        <v>6518</v>
      </c>
      <c r="I85" s="121" t="s">
        <v>7069</v>
      </c>
      <c r="J85" s="121" t="s">
        <v>569</v>
      </c>
      <c r="K85" s="129">
        <v>2018</v>
      </c>
      <c r="L85" s="121" t="s">
        <v>7499</v>
      </c>
      <c r="M85" s="130" t="s">
        <v>7587</v>
      </c>
    </row>
    <row r="86" spans="1:13" ht="16.2">
      <c r="A86" s="121">
        <v>180</v>
      </c>
      <c r="B86" s="121" t="s">
        <v>5071</v>
      </c>
      <c r="C86" s="121" t="s">
        <v>7486</v>
      </c>
      <c r="D86" s="121">
        <v>9781522528159</v>
      </c>
      <c r="E86" s="121">
        <v>9781522528142</v>
      </c>
      <c r="F86" s="121" t="s">
        <v>7070</v>
      </c>
      <c r="G86" s="121">
        <v>1</v>
      </c>
      <c r="H86" s="121" t="s">
        <v>6518</v>
      </c>
      <c r="I86" s="121" t="s">
        <v>1809</v>
      </c>
      <c r="J86" s="121" t="s">
        <v>569</v>
      </c>
      <c r="K86" s="129">
        <v>2018</v>
      </c>
      <c r="L86" s="121" t="s">
        <v>7499</v>
      </c>
      <c r="M86" s="130" t="s">
        <v>7588</v>
      </c>
    </row>
    <row r="87" spans="1:13" ht="16.2">
      <c r="A87" s="121">
        <v>181</v>
      </c>
      <c r="B87" s="121" t="s">
        <v>5071</v>
      </c>
      <c r="C87" s="121" t="s">
        <v>7486</v>
      </c>
      <c r="D87" s="121">
        <v>9781522528494</v>
      </c>
      <c r="E87" s="121">
        <v>9781522528487</v>
      </c>
      <c r="F87" s="121" t="s">
        <v>7071</v>
      </c>
      <c r="G87" s="121">
        <v>1</v>
      </c>
      <c r="H87" s="121" t="s">
        <v>6518</v>
      </c>
      <c r="I87" s="121" t="s">
        <v>7072</v>
      </c>
      <c r="J87" s="121" t="s">
        <v>569</v>
      </c>
      <c r="K87" s="129">
        <v>2018</v>
      </c>
      <c r="L87" s="121" t="s">
        <v>7499</v>
      </c>
      <c r="M87" s="130" t="s">
        <v>7589</v>
      </c>
    </row>
    <row r="88" spans="1:13" ht="16.2">
      <c r="A88" s="121">
        <v>182</v>
      </c>
      <c r="B88" s="121" t="s">
        <v>5071</v>
      </c>
      <c r="C88" s="121" t="s">
        <v>7486</v>
      </c>
      <c r="D88" s="121">
        <v>9781522528005</v>
      </c>
      <c r="E88" s="121">
        <v>9781522527992</v>
      </c>
      <c r="F88" s="121" t="s">
        <v>7073</v>
      </c>
      <c r="G88" s="121">
        <v>1</v>
      </c>
      <c r="H88" s="121" t="s">
        <v>6518</v>
      </c>
      <c r="I88" s="121" t="s">
        <v>7074</v>
      </c>
      <c r="J88" s="121" t="s">
        <v>569</v>
      </c>
      <c r="K88" s="129">
        <v>2018</v>
      </c>
      <c r="L88" s="121" t="s">
        <v>7499</v>
      </c>
      <c r="M88" s="130" t="s">
        <v>7590</v>
      </c>
    </row>
    <row r="89" spans="1:13" ht="16.2">
      <c r="A89" s="121">
        <v>183</v>
      </c>
      <c r="B89" s="121" t="s">
        <v>5071</v>
      </c>
      <c r="C89" s="121" t="s">
        <v>7486</v>
      </c>
      <c r="D89" s="121">
        <v>9781522533054</v>
      </c>
      <c r="E89" s="121">
        <v>9781522524373</v>
      </c>
      <c r="F89" s="121" t="s">
        <v>7075</v>
      </c>
      <c r="G89" s="121">
        <v>1</v>
      </c>
      <c r="H89" s="121" t="s">
        <v>6518</v>
      </c>
      <c r="I89" s="121" t="s">
        <v>7076</v>
      </c>
      <c r="J89" s="121" t="s">
        <v>569</v>
      </c>
      <c r="K89" s="129">
        <v>2017</v>
      </c>
      <c r="L89" s="121" t="s">
        <v>7499</v>
      </c>
      <c r="M89" s="130" t="s">
        <v>7591</v>
      </c>
    </row>
    <row r="90" spans="1:13" ht="16.2">
      <c r="A90" s="121">
        <v>184</v>
      </c>
      <c r="B90" s="121" t="s">
        <v>5071</v>
      </c>
      <c r="C90" s="121" t="s">
        <v>7486</v>
      </c>
      <c r="D90" s="121">
        <v>9781522507741</v>
      </c>
      <c r="E90" s="121">
        <v>9781522507734</v>
      </c>
      <c r="F90" s="121" t="s">
        <v>7077</v>
      </c>
      <c r="G90" s="121">
        <v>1</v>
      </c>
      <c r="H90" s="121" t="s">
        <v>6518</v>
      </c>
      <c r="I90" s="121" t="s">
        <v>7078</v>
      </c>
      <c r="J90" s="121" t="s">
        <v>569</v>
      </c>
      <c r="K90" s="129">
        <v>2017</v>
      </c>
      <c r="L90" s="121" t="s">
        <v>7499</v>
      </c>
      <c r="M90" s="130" t="s">
        <v>7592</v>
      </c>
    </row>
    <row r="91" spans="1:13" ht="16.2">
      <c r="A91" s="121">
        <v>185</v>
      </c>
      <c r="B91" s="121" t="s">
        <v>5071</v>
      </c>
      <c r="C91" s="121" t="s">
        <v>7486</v>
      </c>
      <c r="D91" s="121">
        <v>9781522506171</v>
      </c>
      <c r="E91" s="121">
        <v>9781522506164</v>
      </c>
      <c r="F91" s="121" t="s">
        <v>7079</v>
      </c>
      <c r="G91" s="121">
        <v>1</v>
      </c>
      <c r="H91" s="121" t="s">
        <v>6518</v>
      </c>
      <c r="I91" s="121" t="s">
        <v>7080</v>
      </c>
      <c r="J91" s="121" t="s">
        <v>569</v>
      </c>
      <c r="K91" s="129">
        <v>2017</v>
      </c>
      <c r="L91" s="121" t="s">
        <v>7499</v>
      </c>
      <c r="M91" s="130" t="s">
        <v>7593</v>
      </c>
    </row>
    <row r="92" spans="1:13" ht="16.2">
      <c r="A92" s="121">
        <v>186</v>
      </c>
      <c r="B92" s="121" t="s">
        <v>5071</v>
      </c>
      <c r="C92" s="121" t="s">
        <v>7486</v>
      </c>
      <c r="D92" s="121">
        <v>9781466696143</v>
      </c>
      <c r="E92" s="121">
        <v>9781466696136</v>
      </c>
      <c r="F92" s="121" t="s">
        <v>7081</v>
      </c>
      <c r="G92" s="121">
        <v>1</v>
      </c>
      <c r="H92" s="121" t="s">
        <v>6518</v>
      </c>
      <c r="I92" s="121" t="s">
        <v>7082</v>
      </c>
      <c r="J92" s="121" t="s">
        <v>569</v>
      </c>
      <c r="K92" s="129">
        <v>2016</v>
      </c>
      <c r="L92" s="121" t="s">
        <v>7499</v>
      </c>
      <c r="M92" s="130" t="s">
        <v>7594</v>
      </c>
    </row>
    <row r="93" spans="1:13" ht="16.2">
      <c r="A93" s="121">
        <v>187</v>
      </c>
      <c r="B93" s="121" t="s">
        <v>5071</v>
      </c>
      <c r="C93" s="121" t="s">
        <v>7486</v>
      </c>
      <c r="D93" s="121">
        <v>9781466698567</v>
      </c>
      <c r="E93" s="121">
        <v>9781466698550</v>
      </c>
      <c r="F93" s="121" t="s">
        <v>7083</v>
      </c>
      <c r="G93" s="121">
        <v>1</v>
      </c>
      <c r="H93" s="121" t="s">
        <v>6518</v>
      </c>
      <c r="I93" s="121" t="s">
        <v>7084</v>
      </c>
      <c r="J93" s="121" t="s">
        <v>569</v>
      </c>
      <c r="K93" s="129">
        <v>2016</v>
      </c>
      <c r="L93" s="121" t="s">
        <v>7499</v>
      </c>
      <c r="M93" s="130" t="s">
        <v>7595</v>
      </c>
    </row>
    <row r="94" spans="1:13" ht="16.2">
      <c r="A94" s="121">
        <v>188</v>
      </c>
      <c r="B94" s="121" t="s">
        <v>5071</v>
      </c>
      <c r="C94" s="121" t="s">
        <v>7486</v>
      </c>
      <c r="D94" s="121">
        <v>9781466688513</v>
      </c>
      <c r="E94" s="121">
        <v>9781466688506</v>
      </c>
      <c r="F94" s="121" t="s">
        <v>7085</v>
      </c>
      <c r="G94" s="121">
        <v>1</v>
      </c>
      <c r="H94" s="121" t="s">
        <v>6518</v>
      </c>
      <c r="I94" s="121" t="s">
        <v>7086</v>
      </c>
      <c r="J94" s="121" t="s">
        <v>569</v>
      </c>
      <c r="K94" s="129">
        <v>2016</v>
      </c>
      <c r="L94" s="121" t="s">
        <v>7499</v>
      </c>
      <c r="M94" s="130" t="s">
        <v>7596</v>
      </c>
    </row>
    <row r="95" spans="1:13" ht="16.2">
      <c r="A95" s="121">
        <v>189</v>
      </c>
      <c r="B95" s="121" t="s">
        <v>5071</v>
      </c>
      <c r="C95" s="121" t="s">
        <v>7490</v>
      </c>
      <c r="D95" s="121">
        <v>9781522552680</v>
      </c>
      <c r="E95" s="121">
        <v>9781522552673</v>
      </c>
      <c r="F95" s="121" t="s">
        <v>7087</v>
      </c>
      <c r="G95" s="121">
        <v>1</v>
      </c>
      <c r="H95" s="121" t="s">
        <v>6518</v>
      </c>
      <c r="I95" s="121" t="s">
        <v>7088</v>
      </c>
      <c r="J95" s="121" t="s">
        <v>568</v>
      </c>
      <c r="K95" s="129">
        <v>2018</v>
      </c>
      <c r="L95" s="121" t="s">
        <v>7499</v>
      </c>
      <c r="M95" s="130" t="s">
        <v>7597</v>
      </c>
    </row>
    <row r="96" spans="1:13" ht="16.2">
      <c r="A96" s="121">
        <v>190</v>
      </c>
      <c r="B96" s="121" t="s">
        <v>5071</v>
      </c>
      <c r="C96" s="121" t="s">
        <v>7490</v>
      </c>
      <c r="D96" s="121">
        <v>9781522536239</v>
      </c>
      <c r="E96" s="121">
        <v>9781522536222</v>
      </c>
      <c r="F96" s="121" t="s">
        <v>7089</v>
      </c>
      <c r="G96" s="121">
        <v>1</v>
      </c>
      <c r="H96" s="121" t="s">
        <v>6518</v>
      </c>
      <c r="I96" s="121" t="s">
        <v>7064</v>
      </c>
      <c r="J96" s="121" t="s">
        <v>568</v>
      </c>
      <c r="K96" s="129">
        <v>2018</v>
      </c>
      <c r="L96" s="121" t="s">
        <v>7499</v>
      </c>
      <c r="M96" s="130" t="s">
        <v>7598</v>
      </c>
    </row>
    <row r="97" spans="1:13" ht="16.2">
      <c r="A97" s="121">
        <v>191</v>
      </c>
      <c r="B97" s="121" t="s">
        <v>5071</v>
      </c>
      <c r="C97" s="121" t="s">
        <v>7490</v>
      </c>
      <c r="D97" s="121">
        <v>9781522532606</v>
      </c>
      <c r="E97" s="121">
        <v>9781522532590</v>
      </c>
      <c r="F97" s="121" t="s">
        <v>7090</v>
      </c>
      <c r="G97" s="121">
        <v>1</v>
      </c>
      <c r="H97" s="121" t="s">
        <v>6518</v>
      </c>
      <c r="I97" s="121" t="s">
        <v>7091</v>
      </c>
      <c r="J97" s="121" t="s">
        <v>568</v>
      </c>
      <c r="K97" s="129">
        <v>2018</v>
      </c>
      <c r="L97" s="121" t="s">
        <v>7499</v>
      </c>
      <c r="M97" s="130" t="s">
        <v>7599</v>
      </c>
    </row>
    <row r="98" spans="1:13" ht="16.2">
      <c r="A98" s="121">
        <v>192</v>
      </c>
      <c r="B98" s="121" t="s">
        <v>5071</v>
      </c>
      <c r="C98" s="121" t="s">
        <v>7490</v>
      </c>
      <c r="D98" s="121">
        <v>9781522527015</v>
      </c>
      <c r="E98" s="121">
        <v>9781522527008</v>
      </c>
      <c r="F98" s="121" t="s">
        <v>7092</v>
      </c>
      <c r="G98" s="121">
        <v>1</v>
      </c>
      <c r="H98" s="121" t="s">
        <v>6518</v>
      </c>
      <c r="I98" s="121" t="s">
        <v>7093</v>
      </c>
      <c r="J98" s="121" t="s">
        <v>568</v>
      </c>
      <c r="K98" s="129">
        <v>2018</v>
      </c>
      <c r="L98" s="121" t="s">
        <v>7499</v>
      </c>
      <c r="M98" s="130" t="s">
        <v>7600</v>
      </c>
    </row>
    <row r="99" spans="1:13" ht="16.2">
      <c r="A99" s="121">
        <v>193</v>
      </c>
      <c r="B99" s="121" t="s">
        <v>5071</v>
      </c>
      <c r="C99" s="121" t="s">
        <v>7490</v>
      </c>
      <c r="D99" s="121">
        <v>9781522519010</v>
      </c>
      <c r="E99" s="121">
        <v>9781522519003</v>
      </c>
      <c r="F99" s="121" t="s">
        <v>7094</v>
      </c>
      <c r="G99" s="121">
        <v>1</v>
      </c>
      <c r="H99" s="121" t="s">
        <v>6518</v>
      </c>
      <c r="I99" s="121" t="s">
        <v>6998</v>
      </c>
      <c r="J99" s="121" t="s">
        <v>568</v>
      </c>
      <c r="K99" s="129">
        <v>2017</v>
      </c>
      <c r="L99" s="121" t="s">
        <v>7499</v>
      </c>
      <c r="M99" s="130" t="s">
        <v>7601</v>
      </c>
    </row>
    <row r="100" spans="1:13" ht="16.2">
      <c r="A100" s="121">
        <v>194</v>
      </c>
      <c r="B100" s="121" t="s">
        <v>5071</v>
      </c>
      <c r="C100" s="121" t="s">
        <v>7490</v>
      </c>
      <c r="D100" s="121">
        <v>9781466650480</v>
      </c>
      <c r="E100" s="121">
        <v>9781466650473</v>
      </c>
      <c r="F100" s="121" t="s">
        <v>7095</v>
      </c>
      <c r="G100" s="121">
        <v>1</v>
      </c>
      <c r="H100" s="121" t="s">
        <v>6518</v>
      </c>
      <c r="I100" s="121" t="s">
        <v>7096</v>
      </c>
      <c r="J100" s="121" t="s">
        <v>568</v>
      </c>
      <c r="K100" s="129">
        <v>2014</v>
      </c>
      <c r="L100" s="121" t="s">
        <v>7499</v>
      </c>
      <c r="M100" s="130" t="s">
        <v>7602</v>
      </c>
    </row>
    <row r="101" spans="1:13" ht="16.2">
      <c r="A101" s="121">
        <v>195</v>
      </c>
      <c r="B101" s="121" t="s">
        <v>5071</v>
      </c>
      <c r="C101" s="121" t="s">
        <v>7491</v>
      </c>
      <c r="D101" s="121">
        <v>9781522557227</v>
      </c>
      <c r="E101" s="121">
        <v>9781522557210</v>
      </c>
      <c r="F101" s="121" t="s">
        <v>7097</v>
      </c>
      <c r="G101" s="121">
        <v>1</v>
      </c>
      <c r="H101" s="121" t="s">
        <v>6518</v>
      </c>
      <c r="I101" s="121" t="s">
        <v>5369</v>
      </c>
      <c r="J101" s="121" t="s">
        <v>568</v>
      </c>
      <c r="K101" s="129">
        <v>2018</v>
      </c>
      <c r="L101" s="121" t="s">
        <v>7499</v>
      </c>
      <c r="M101" s="130" t="s">
        <v>7603</v>
      </c>
    </row>
    <row r="102" spans="1:13" ht="16.2">
      <c r="A102" s="121">
        <v>196</v>
      </c>
      <c r="B102" s="121" t="s">
        <v>5071</v>
      </c>
      <c r="C102" s="121" t="s">
        <v>7491</v>
      </c>
      <c r="D102" s="121">
        <v>9781522556206</v>
      </c>
      <c r="E102" s="121">
        <v>9781522556190</v>
      </c>
      <c r="F102" s="121" t="s">
        <v>7098</v>
      </c>
      <c r="G102" s="121">
        <v>1</v>
      </c>
      <c r="H102" s="121" t="s">
        <v>6518</v>
      </c>
      <c r="I102" s="121" t="s">
        <v>578</v>
      </c>
      <c r="J102" s="121" t="s">
        <v>568</v>
      </c>
      <c r="K102" s="129">
        <v>2018</v>
      </c>
      <c r="L102" s="121" t="s">
        <v>7499</v>
      </c>
      <c r="M102" s="130" t="s">
        <v>7604</v>
      </c>
    </row>
    <row r="103" spans="1:13" ht="16.2">
      <c r="A103" s="121">
        <v>197</v>
      </c>
      <c r="B103" s="121" t="s">
        <v>5071</v>
      </c>
      <c r="C103" s="121" t="s">
        <v>7491</v>
      </c>
      <c r="D103" s="121">
        <v>9781522553618</v>
      </c>
      <c r="E103" s="121">
        <v>9781522553601</v>
      </c>
      <c r="F103" s="121" t="s">
        <v>7099</v>
      </c>
      <c r="G103" s="121">
        <v>1</v>
      </c>
      <c r="H103" s="121" t="s">
        <v>6518</v>
      </c>
      <c r="I103" s="121" t="s">
        <v>7100</v>
      </c>
      <c r="J103" s="121" t="s">
        <v>568</v>
      </c>
      <c r="K103" s="129">
        <v>2018</v>
      </c>
      <c r="L103" s="121" t="s">
        <v>7499</v>
      </c>
      <c r="M103" s="130" t="s">
        <v>7605</v>
      </c>
    </row>
    <row r="104" spans="1:13" ht="16.2">
      <c r="A104" s="121">
        <v>198</v>
      </c>
      <c r="B104" s="121" t="s">
        <v>5071</v>
      </c>
      <c r="C104" s="121" t="s">
        <v>7491</v>
      </c>
      <c r="D104" s="121">
        <v>9781522556381</v>
      </c>
      <c r="E104" s="121">
        <v>9781522556374</v>
      </c>
      <c r="F104" s="121" t="s">
        <v>7101</v>
      </c>
      <c r="G104" s="121">
        <v>2</v>
      </c>
      <c r="H104" s="121" t="s">
        <v>6518</v>
      </c>
      <c r="I104" s="121" t="s">
        <v>1424</v>
      </c>
      <c r="J104" s="121" t="s">
        <v>568</v>
      </c>
      <c r="K104" s="129">
        <v>2018</v>
      </c>
      <c r="L104" s="121" t="s">
        <v>7499</v>
      </c>
      <c r="M104" s="130" t="s">
        <v>7606</v>
      </c>
    </row>
    <row r="105" spans="1:13" ht="16.2">
      <c r="A105" s="121">
        <v>199</v>
      </c>
      <c r="B105" s="121" t="s">
        <v>5071</v>
      </c>
      <c r="C105" s="121" t="s">
        <v>7491</v>
      </c>
      <c r="D105" s="121">
        <v>9781522534495</v>
      </c>
      <c r="E105" s="121">
        <v>9781522534488</v>
      </c>
      <c r="F105" s="121" t="s">
        <v>7102</v>
      </c>
      <c r="G105" s="121">
        <v>1</v>
      </c>
      <c r="H105" s="121" t="s">
        <v>6518</v>
      </c>
      <c r="I105" s="121" t="s">
        <v>7103</v>
      </c>
      <c r="J105" s="121" t="s">
        <v>568</v>
      </c>
      <c r="K105" s="129">
        <v>2018</v>
      </c>
      <c r="L105" s="121" t="s">
        <v>7499</v>
      </c>
      <c r="M105" s="130" t="s">
        <v>7607</v>
      </c>
    </row>
    <row r="106" spans="1:13" ht="16.2">
      <c r="A106" s="121">
        <v>200</v>
      </c>
      <c r="B106" s="121" t="s">
        <v>5071</v>
      </c>
      <c r="C106" s="121" t="s">
        <v>7491</v>
      </c>
      <c r="D106" s="121">
        <v>9781522550150</v>
      </c>
      <c r="E106" s="121">
        <v>9781522550143</v>
      </c>
      <c r="F106" s="121" t="s">
        <v>7104</v>
      </c>
      <c r="G106" s="121">
        <v>1</v>
      </c>
      <c r="H106" s="121" t="s">
        <v>6518</v>
      </c>
      <c r="I106" s="121" t="s">
        <v>2596</v>
      </c>
      <c r="J106" s="121" t="s">
        <v>568</v>
      </c>
      <c r="K106" s="129">
        <v>2018</v>
      </c>
      <c r="L106" s="121" t="s">
        <v>7499</v>
      </c>
      <c r="M106" s="130" t="s">
        <v>7608</v>
      </c>
    </row>
    <row r="107" spans="1:13" ht="16.2">
      <c r="A107" s="121">
        <v>201</v>
      </c>
      <c r="B107" s="121" t="s">
        <v>5071</v>
      </c>
      <c r="C107" s="121" t="s">
        <v>7491</v>
      </c>
      <c r="D107" s="121">
        <v>9781522530138</v>
      </c>
      <c r="E107" s="121">
        <v>9781522530121</v>
      </c>
      <c r="F107" s="121" t="s">
        <v>7105</v>
      </c>
      <c r="G107" s="121">
        <v>2</v>
      </c>
      <c r="H107" s="121" t="s">
        <v>6518</v>
      </c>
      <c r="I107" s="121" t="s">
        <v>5748</v>
      </c>
      <c r="J107" s="121" t="s">
        <v>568</v>
      </c>
      <c r="K107" s="129">
        <v>2018</v>
      </c>
      <c r="L107" s="121" t="s">
        <v>7499</v>
      </c>
      <c r="M107" s="130" t="s">
        <v>7609</v>
      </c>
    </row>
    <row r="108" spans="1:13" ht="16.2">
      <c r="A108" s="121">
        <v>202</v>
      </c>
      <c r="B108" s="121" t="s">
        <v>5071</v>
      </c>
      <c r="C108" s="121" t="s">
        <v>7491</v>
      </c>
      <c r="D108" s="121">
        <v>9781522536291</v>
      </c>
      <c r="E108" s="121">
        <v>9781522536284</v>
      </c>
      <c r="F108" s="121" t="s">
        <v>7106</v>
      </c>
      <c r="G108" s="121">
        <v>1</v>
      </c>
      <c r="H108" s="121" t="s">
        <v>6518</v>
      </c>
      <c r="I108" s="121" t="s">
        <v>7107</v>
      </c>
      <c r="J108" s="121" t="s">
        <v>568</v>
      </c>
      <c r="K108" s="129">
        <v>2018</v>
      </c>
      <c r="L108" s="121" t="s">
        <v>7499</v>
      </c>
      <c r="M108" s="130" t="s">
        <v>7610</v>
      </c>
    </row>
    <row r="109" spans="1:13" ht="16.2">
      <c r="A109" s="121">
        <v>203</v>
      </c>
      <c r="B109" s="121" t="s">
        <v>5071</v>
      </c>
      <c r="C109" s="121" t="s">
        <v>7491</v>
      </c>
      <c r="D109" s="121">
        <v>9781522537885</v>
      </c>
      <c r="E109" s="121">
        <v>9781522537878</v>
      </c>
      <c r="F109" s="121" t="s">
        <v>7108</v>
      </c>
      <c r="G109" s="121">
        <v>1</v>
      </c>
      <c r="H109" s="121" t="s">
        <v>6518</v>
      </c>
      <c r="I109" s="121" t="s">
        <v>7109</v>
      </c>
      <c r="J109" s="121" t="s">
        <v>568</v>
      </c>
      <c r="K109" s="129">
        <v>2018</v>
      </c>
      <c r="L109" s="121" t="s">
        <v>7499</v>
      </c>
      <c r="M109" s="130" t="s">
        <v>7611</v>
      </c>
    </row>
    <row r="110" spans="1:13" ht="16.2">
      <c r="A110" s="121">
        <v>204</v>
      </c>
      <c r="B110" s="121" t="s">
        <v>5071</v>
      </c>
      <c r="C110" s="121" t="s">
        <v>7491</v>
      </c>
      <c r="D110" s="121">
        <v>9781522535522</v>
      </c>
      <c r="E110" s="121">
        <v>9781522535515</v>
      </c>
      <c r="F110" s="121" t="s">
        <v>7110</v>
      </c>
      <c r="G110" s="121">
        <v>1</v>
      </c>
      <c r="H110" s="121" t="s">
        <v>6518</v>
      </c>
      <c r="I110" s="121" t="s">
        <v>7111</v>
      </c>
      <c r="J110" s="121" t="s">
        <v>568</v>
      </c>
      <c r="K110" s="129">
        <v>2018</v>
      </c>
      <c r="L110" s="121" t="s">
        <v>7499</v>
      </c>
      <c r="M110" s="130" t="s">
        <v>7612</v>
      </c>
    </row>
    <row r="111" spans="1:13" ht="16.2">
      <c r="A111" s="121">
        <v>205</v>
      </c>
      <c r="B111" s="121" t="s">
        <v>5071</v>
      </c>
      <c r="C111" s="121" t="s">
        <v>7491</v>
      </c>
      <c r="D111" s="121">
        <v>9781522553915</v>
      </c>
      <c r="E111" s="121">
        <v>9781522553908</v>
      </c>
      <c r="F111" s="121" t="s">
        <v>7112</v>
      </c>
      <c r="G111" s="121">
        <v>1</v>
      </c>
      <c r="H111" s="121" t="s">
        <v>6518</v>
      </c>
      <c r="I111" s="121" t="s">
        <v>7113</v>
      </c>
      <c r="J111" s="121" t="s">
        <v>568</v>
      </c>
      <c r="K111" s="129">
        <v>2018</v>
      </c>
      <c r="L111" s="121" t="s">
        <v>7499</v>
      </c>
      <c r="M111" s="130" t="s">
        <v>7613</v>
      </c>
    </row>
    <row r="112" spans="1:13" ht="16.2">
      <c r="A112" s="121">
        <v>206</v>
      </c>
      <c r="B112" s="121" t="s">
        <v>5071</v>
      </c>
      <c r="C112" s="121" t="s">
        <v>7491</v>
      </c>
      <c r="D112" s="121">
        <v>9781522536475</v>
      </c>
      <c r="E112" s="121">
        <v>9781522536468</v>
      </c>
      <c r="F112" s="121" t="s">
        <v>7114</v>
      </c>
      <c r="G112" s="121">
        <v>1</v>
      </c>
      <c r="H112" s="121" t="s">
        <v>6518</v>
      </c>
      <c r="I112" s="121" t="s">
        <v>6207</v>
      </c>
      <c r="J112" s="121" t="s">
        <v>568</v>
      </c>
      <c r="K112" s="129">
        <v>2018</v>
      </c>
      <c r="L112" s="121" t="s">
        <v>7499</v>
      </c>
      <c r="M112" s="130" t="s">
        <v>7614</v>
      </c>
    </row>
    <row r="113" spans="1:13" ht="16.2">
      <c r="A113" s="121">
        <v>207</v>
      </c>
      <c r="B113" s="121" t="s">
        <v>5071</v>
      </c>
      <c r="C113" s="121" t="s">
        <v>7491</v>
      </c>
      <c r="D113" s="121">
        <v>9781522549482</v>
      </c>
      <c r="E113" s="121">
        <v>9781522549475</v>
      </c>
      <c r="F113" s="121" t="s">
        <v>7115</v>
      </c>
      <c r="G113" s="121">
        <v>1</v>
      </c>
      <c r="H113" s="121" t="s">
        <v>6518</v>
      </c>
      <c r="I113" s="121" t="s">
        <v>7116</v>
      </c>
      <c r="J113" s="121" t="s">
        <v>568</v>
      </c>
      <c r="K113" s="129">
        <v>2018</v>
      </c>
      <c r="L113" s="121" t="s">
        <v>7499</v>
      </c>
      <c r="M113" s="130" t="s">
        <v>7615</v>
      </c>
    </row>
    <row r="114" spans="1:13" ht="16.2">
      <c r="A114" s="121">
        <v>208</v>
      </c>
      <c r="B114" s="121" t="s">
        <v>5071</v>
      </c>
      <c r="C114" s="121" t="s">
        <v>7491</v>
      </c>
      <c r="D114" s="121">
        <v>9781522549796</v>
      </c>
      <c r="E114" s="121">
        <v>9781522549789</v>
      </c>
      <c r="F114" s="121" t="s">
        <v>7117</v>
      </c>
      <c r="G114" s="121">
        <v>1</v>
      </c>
      <c r="H114" s="121" t="s">
        <v>6518</v>
      </c>
      <c r="I114" s="121" t="s">
        <v>7118</v>
      </c>
      <c r="J114" s="121" t="s">
        <v>568</v>
      </c>
      <c r="K114" s="129">
        <v>2018</v>
      </c>
      <c r="L114" s="121" t="s">
        <v>7499</v>
      </c>
      <c r="M114" s="130" t="s">
        <v>7616</v>
      </c>
    </row>
    <row r="115" spans="1:13" ht="16.2">
      <c r="A115" s="121">
        <v>209</v>
      </c>
      <c r="B115" s="121" t="s">
        <v>5071</v>
      </c>
      <c r="C115" s="121" t="s">
        <v>7491</v>
      </c>
      <c r="D115" s="121">
        <v>9781522537748</v>
      </c>
      <c r="E115" s="121">
        <v>9781522537731</v>
      </c>
      <c r="F115" s="121" t="s">
        <v>7119</v>
      </c>
      <c r="G115" s="121">
        <v>1</v>
      </c>
      <c r="H115" s="121" t="s">
        <v>6518</v>
      </c>
      <c r="I115" s="121" t="s">
        <v>2567</v>
      </c>
      <c r="J115" s="121" t="s">
        <v>568</v>
      </c>
      <c r="K115" s="129">
        <v>2018</v>
      </c>
      <c r="L115" s="121" t="s">
        <v>7499</v>
      </c>
      <c r="M115" s="130" t="s">
        <v>7617</v>
      </c>
    </row>
    <row r="116" spans="1:13" ht="16.2">
      <c r="A116" s="121">
        <v>210</v>
      </c>
      <c r="B116" s="121" t="s">
        <v>5071</v>
      </c>
      <c r="C116" s="121" t="s">
        <v>7491</v>
      </c>
      <c r="D116" s="121">
        <v>9781522540571</v>
      </c>
      <c r="E116" s="121">
        <v>9781522540564</v>
      </c>
      <c r="F116" s="121" t="s">
        <v>7120</v>
      </c>
      <c r="G116" s="121">
        <v>1</v>
      </c>
      <c r="H116" s="121" t="s">
        <v>6518</v>
      </c>
      <c r="I116" s="121" t="s">
        <v>943</v>
      </c>
      <c r="J116" s="121" t="s">
        <v>568</v>
      </c>
      <c r="K116" s="129">
        <v>2018</v>
      </c>
      <c r="L116" s="121" t="s">
        <v>7499</v>
      </c>
      <c r="M116" s="130" t="s">
        <v>7618</v>
      </c>
    </row>
    <row r="117" spans="1:13" ht="16.2">
      <c r="A117" s="121">
        <v>211</v>
      </c>
      <c r="B117" s="121" t="s">
        <v>5071</v>
      </c>
      <c r="C117" s="121" t="s">
        <v>7491</v>
      </c>
      <c r="D117" s="121">
        <v>9781522539889</v>
      </c>
      <c r="E117" s="121">
        <v>9781522539872</v>
      </c>
      <c r="F117" s="121" t="s">
        <v>7121</v>
      </c>
      <c r="G117" s="121">
        <v>1</v>
      </c>
      <c r="H117" s="121" t="s">
        <v>6518</v>
      </c>
      <c r="I117" s="121" t="s">
        <v>7122</v>
      </c>
      <c r="J117" s="121" t="s">
        <v>568</v>
      </c>
      <c r="K117" s="129">
        <v>2018</v>
      </c>
      <c r="L117" s="121" t="s">
        <v>7499</v>
      </c>
      <c r="M117" s="130" t="s">
        <v>7619</v>
      </c>
    </row>
    <row r="118" spans="1:13" ht="16.2">
      <c r="A118" s="121">
        <v>212</v>
      </c>
      <c r="B118" s="121" t="s">
        <v>5071</v>
      </c>
      <c r="C118" s="121" t="s">
        <v>7491</v>
      </c>
      <c r="D118" s="121">
        <v>9781522536536</v>
      </c>
      <c r="E118" s="121">
        <v>9781522536529</v>
      </c>
      <c r="F118" s="121" t="s">
        <v>7123</v>
      </c>
      <c r="G118" s="121">
        <v>1</v>
      </c>
      <c r="H118" s="121" t="s">
        <v>6518</v>
      </c>
      <c r="I118" s="121" t="s">
        <v>7124</v>
      </c>
      <c r="J118" s="121" t="s">
        <v>568</v>
      </c>
      <c r="K118" s="129">
        <v>2018</v>
      </c>
      <c r="L118" s="121" t="s">
        <v>7499</v>
      </c>
      <c r="M118" s="130" t="s">
        <v>7620</v>
      </c>
    </row>
    <row r="119" spans="1:13" ht="16.2">
      <c r="A119" s="121">
        <v>213</v>
      </c>
      <c r="B119" s="121" t="s">
        <v>5071</v>
      </c>
      <c r="C119" s="121" t="s">
        <v>7491</v>
      </c>
      <c r="D119" s="121">
        <v>9781522537113</v>
      </c>
      <c r="E119" s="121">
        <v>9781522537106</v>
      </c>
      <c r="F119" s="121" t="s">
        <v>7125</v>
      </c>
      <c r="G119" s="121">
        <v>1</v>
      </c>
      <c r="H119" s="121" t="s">
        <v>6518</v>
      </c>
      <c r="I119" s="121" t="s">
        <v>7126</v>
      </c>
      <c r="J119" s="121" t="s">
        <v>568</v>
      </c>
      <c r="K119" s="129">
        <v>2018</v>
      </c>
      <c r="L119" s="121" t="s">
        <v>7499</v>
      </c>
      <c r="M119" s="130" t="s">
        <v>7621</v>
      </c>
    </row>
    <row r="120" spans="1:13" ht="16.2">
      <c r="A120" s="121">
        <v>214</v>
      </c>
      <c r="B120" s="121" t="s">
        <v>5071</v>
      </c>
      <c r="C120" s="121" t="s">
        <v>7491</v>
      </c>
      <c r="D120" s="121">
        <v>9781522539339</v>
      </c>
      <c r="E120" s="121">
        <v>9781522539322</v>
      </c>
      <c r="F120" s="121" t="s">
        <v>7127</v>
      </c>
      <c r="G120" s="121">
        <v>1</v>
      </c>
      <c r="H120" s="121" t="s">
        <v>6518</v>
      </c>
      <c r="I120" s="121" t="s">
        <v>1424</v>
      </c>
      <c r="J120" s="121" t="s">
        <v>568</v>
      </c>
      <c r="K120" s="129">
        <v>2018</v>
      </c>
      <c r="L120" s="121" t="s">
        <v>7499</v>
      </c>
      <c r="M120" s="130" t="s">
        <v>7622</v>
      </c>
    </row>
    <row r="121" spans="1:13" ht="16.2">
      <c r="A121" s="121">
        <v>215</v>
      </c>
      <c r="B121" s="121" t="s">
        <v>5071</v>
      </c>
      <c r="C121" s="121" t="s">
        <v>7491</v>
      </c>
      <c r="D121" s="121">
        <v>9781522536260</v>
      </c>
      <c r="E121" s="121">
        <v>9781522536253</v>
      </c>
      <c r="F121" s="121" t="s">
        <v>7128</v>
      </c>
      <c r="G121" s="121">
        <v>1</v>
      </c>
      <c r="H121" s="121" t="s">
        <v>6518</v>
      </c>
      <c r="I121" s="121" t="s">
        <v>7129</v>
      </c>
      <c r="J121" s="121" t="s">
        <v>568</v>
      </c>
      <c r="K121" s="129">
        <v>2018</v>
      </c>
      <c r="L121" s="121" t="s">
        <v>7499</v>
      </c>
      <c r="M121" s="130" t="s">
        <v>7623</v>
      </c>
    </row>
    <row r="122" spans="1:13" ht="16.2">
      <c r="A122" s="121">
        <v>216</v>
      </c>
      <c r="B122" s="121" t="s">
        <v>5071</v>
      </c>
      <c r="C122" s="121" t="s">
        <v>7491</v>
      </c>
      <c r="D122" s="121">
        <v>9781522533931</v>
      </c>
      <c r="E122" s="121">
        <v>9781522533924</v>
      </c>
      <c r="F122" s="121" t="s">
        <v>7130</v>
      </c>
      <c r="G122" s="121">
        <v>1</v>
      </c>
      <c r="H122" s="121" t="s">
        <v>6518</v>
      </c>
      <c r="I122" s="121" t="s">
        <v>5074</v>
      </c>
      <c r="J122" s="121" t="s">
        <v>568</v>
      </c>
      <c r="K122" s="129">
        <v>2018</v>
      </c>
      <c r="L122" s="121" t="s">
        <v>7499</v>
      </c>
      <c r="M122" s="130" t="s">
        <v>7624</v>
      </c>
    </row>
    <row r="123" spans="1:13" ht="16.2">
      <c r="A123" s="121">
        <v>217</v>
      </c>
      <c r="B123" s="121" t="s">
        <v>5071</v>
      </c>
      <c r="C123" s="121" t="s">
        <v>7491</v>
      </c>
      <c r="D123" s="121">
        <v>9781522530107</v>
      </c>
      <c r="E123" s="121">
        <v>9781522530091</v>
      </c>
      <c r="F123" s="121" t="s">
        <v>7131</v>
      </c>
      <c r="G123" s="121">
        <v>1</v>
      </c>
      <c r="H123" s="121" t="s">
        <v>6518</v>
      </c>
      <c r="I123" s="121" t="s">
        <v>7132</v>
      </c>
      <c r="J123" s="121" t="s">
        <v>568</v>
      </c>
      <c r="K123" s="129">
        <v>2018</v>
      </c>
      <c r="L123" s="121" t="s">
        <v>7499</v>
      </c>
      <c r="M123" s="130" t="s">
        <v>7625</v>
      </c>
    </row>
    <row r="124" spans="1:13" ht="16.2">
      <c r="A124" s="121">
        <v>218</v>
      </c>
      <c r="B124" s="121" t="s">
        <v>5071</v>
      </c>
      <c r="C124" s="121" t="s">
        <v>7491</v>
      </c>
      <c r="D124" s="121">
        <v>9781522549536</v>
      </c>
      <c r="E124" s="121">
        <v>9781522549529</v>
      </c>
      <c r="F124" s="121" t="s">
        <v>7133</v>
      </c>
      <c r="G124" s="121">
        <v>1</v>
      </c>
      <c r="H124" s="121" t="s">
        <v>6518</v>
      </c>
      <c r="I124" s="121" t="s">
        <v>759</v>
      </c>
      <c r="J124" s="121" t="s">
        <v>568</v>
      </c>
      <c r="K124" s="129">
        <v>2018</v>
      </c>
      <c r="L124" s="121" t="s">
        <v>7499</v>
      </c>
      <c r="M124" s="130" t="s">
        <v>7626</v>
      </c>
    </row>
    <row r="125" spans="1:13" ht="16.2">
      <c r="A125" s="121">
        <v>219</v>
      </c>
      <c r="B125" s="121" t="s">
        <v>5071</v>
      </c>
      <c r="C125" s="121" t="s">
        <v>7491</v>
      </c>
      <c r="D125" s="121">
        <v>9781522534334</v>
      </c>
      <c r="E125" s="121">
        <v>9781522534327</v>
      </c>
      <c r="F125" s="121" t="s">
        <v>7134</v>
      </c>
      <c r="G125" s="121">
        <v>1</v>
      </c>
      <c r="H125" s="121" t="s">
        <v>6518</v>
      </c>
      <c r="I125" s="121" t="s">
        <v>1424</v>
      </c>
      <c r="J125" s="121" t="s">
        <v>568</v>
      </c>
      <c r="K125" s="129">
        <v>2018</v>
      </c>
      <c r="L125" s="121" t="s">
        <v>7499</v>
      </c>
      <c r="M125" s="130" t="s">
        <v>7627</v>
      </c>
    </row>
    <row r="126" spans="1:13" ht="16.2">
      <c r="A126" s="121">
        <v>220</v>
      </c>
      <c r="B126" s="121" t="s">
        <v>5071</v>
      </c>
      <c r="C126" s="121" t="s">
        <v>7491</v>
      </c>
      <c r="D126" s="121">
        <v>9781522528210</v>
      </c>
      <c r="E126" s="121">
        <v>9781522528203</v>
      </c>
      <c r="F126" s="121" t="s">
        <v>7135</v>
      </c>
      <c r="G126" s="121">
        <v>1</v>
      </c>
      <c r="H126" s="121" t="s">
        <v>6518</v>
      </c>
      <c r="I126" s="121" t="s">
        <v>7136</v>
      </c>
      <c r="J126" s="121" t="s">
        <v>568</v>
      </c>
      <c r="K126" s="129">
        <v>2018</v>
      </c>
      <c r="L126" s="121" t="s">
        <v>7499</v>
      </c>
      <c r="M126" s="130" t="s">
        <v>7137</v>
      </c>
    </row>
    <row r="127" spans="1:13" ht="16.2">
      <c r="A127" s="121">
        <v>221</v>
      </c>
      <c r="B127" s="121" t="s">
        <v>5071</v>
      </c>
      <c r="C127" s="121" t="s">
        <v>7491</v>
      </c>
      <c r="D127" s="121">
        <v>9781522526896</v>
      </c>
      <c r="E127" s="121">
        <v>9781522526889</v>
      </c>
      <c r="F127" s="121" t="s">
        <v>7138</v>
      </c>
      <c r="G127" s="121">
        <v>1</v>
      </c>
      <c r="H127" s="121" t="s">
        <v>6518</v>
      </c>
      <c r="I127" s="121" t="s">
        <v>7139</v>
      </c>
      <c r="J127" s="121" t="s">
        <v>568</v>
      </c>
      <c r="K127" s="129">
        <v>2018</v>
      </c>
      <c r="L127" s="121" t="s">
        <v>7499</v>
      </c>
      <c r="M127" s="130" t="s">
        <v>7628</v>
      </c>
    </row>
    <row r="128" spans="1:13" ht="16.2">
      <c r="A128" s="121">
        <v>222</v>
      </c>
      <c r="B128" s="121" t="s">
        <v>5071</v>
      </c>
      <c r="C128" s="121" t="s">
        <v>7491</v>
      </c>
      <c r="D128" s="121">
        <v>9781522527282</v>
      </c>
      <c r="E128" s="121">
        <v>9781522527275</v>
      </c>
      <c r="F128" s="121" t="s">
        <v>7140</v>
      </c>
      <c r="G128" s="121">
        <v>1</v>
      </c>
      <c r="H128" s="121" t="s">
        <v>6518</v>
      </c>
      <c r="I128" s="121" t="s">
        <v>5272</v>
      </c>
      <c r="J128" s="121" t="s">
        <v>568</v>
      </c>
      <c r="K128" s="129">
        <v>2018</v>
      </c>
      <c r="L128" s="121" t="s">
        <v>7499</v>
      </c>
      <c r="M128" s="130" t="s">
        <v>7629</v>
      </c>
    </row>
    <row r="129" spans="1:13" ht="16.2">
      <c r="A129" s="121">
        <v>223</v>
      </c>
      <c r="B129" s="121" t="s">
        <v>5071</v>
      </c>
      <c r="C129" s="121" t="s">
        <v>7491</v>
      </c>
      <c r="D129" s="121">
        <v>9781522528364</v>
      </c>
      <c r="E129" s="121">
        <v>9781522528357</v>
      </c>
      <c r="F129" s="121" t="s">
        <v>7141</v>
      </c>
      <c r="G129" s="121">
        <v>1</v>
      </c>
      <c r="H129" s="121" t="s">
        <v>6518</v>
      </c>
      <c r="I129" s="121" t="s">
        <v>5836</v>
      </c>
      <c r="J129" s="121" t="s">
        <v>568</v>
      </c>
      <c r="K129" s="129">
        <v>2018</v>
      </c>
      <c r="L129" s="121" t="s">
        <v>7499</v>
      </c>
      <c r="M129" s="130" t="s">
        <v>7630</v>
      </c>
    </row>
    <row r="130" spans="1:13" ht="16.2">
      <c r="A130" s="121">
        <v>224</v>
      </c>
      <c r="B130" s="121" t="s">
        <v>5071</v>
      </c>
      <c r="C130" s="121" t="s">
        <v>7491</v>
      </c>
      <c r="D130" s="121">
        <v>9781522527046</v>
      </c>
      <c r="E130" s="121">
        <v>9781522527039</v>
      </c>
      <c r="F130" s="121" t="s">
        <v>7142</v>
      </c>
      <c r="G130" s="121">
        <v>1</v>
      </c>
      <c r="H130" s="121" t="s">
        <v>6518</v>
      </c>
      <c r="I130" s="121" t="s">
        <v>7143</v>
      </c>
      <c r="J130" s="121" t="s">
        <v>568</v>
      </c>
      <c r="K130" s="129">
        <v>2018</v>
      </c>
      <c r="L130" s="121" t="s">
        <v>7499</v>
      </c>
      <c r="M130" s="130" t="s">
        <v>7631</v>
      </c>
    </row>
    <row r="131" spans="1:13" ht="16.2">
      <c r="A131" s="121">
        <v>225</v>
      </c>
      <c r="B131" s="121" t="s">
        <v>5071</v>
      </c>
      <c r="C131" s="121" t="s">
        <v>7491</v>
      </c>
      <c r="D131" s="121">
        <v>9781522527176</v>
      </c>
      <c r="E131" s="121">
        <v>9781522527169</v>
      </c>
      <c r="F131" s="121" t="s">
        <v>7144</v>
      </c>
      <c r="G131" s="121">
        <v>1</v>
      </c>
      <c r="H131" s="121" t="s">
        <v>6518</v>
      </c>
      <c r="I131" s="121" t="s">
        <v>7145</v>
      </c>
      <c r="J131" s="121" t="s">
        <v>568</v>
      </c>
      <c r="K131" s="129">
        <v>2018</v>
      </c>
      <c r="L131" s="121" t="s">
        <v>7499</v>
      </c>
      <c r="M131" s="130" t="s">
        <v>7632</v>
      </c>
    </row>
    <row r="132" spans="1:13" ht="16.2">
      <c r="A132" s="121">
        <v>226</v>
      </c>
      <c r="B132" s="121" t="s">
        <v>5071</v>
      </c>
      <c r="C132" s="121" t="s">
        <v>7491</v>
      </c>
      <c r="D132" s="121">
        <v>9781522528982</v>
      </c>
      <c r="E132" s="121">
        <v>9781522528975</v>
      </c>
      <c r="F132" s="121" t="s">
        <v>7146</v>
      </c>
      <c r="G132" s="121">
        <v>1</v>
      </c>
      <c r="H132" s="121" t="s">
        <v>6518</v>
      </c>
      <c r="I132" s="121" t="s">
        <v>7147</v>
      </c>
      <c r="J132" s="121" t="s">
        <v>568</v>
      </c>
      <c r="K132" s="129">
        <v>2018</v>
      </c>
      <c r="L132" s="121" t="s">
        <v>7499</v>
      </c>
      <c r="M132" s="130" t="s">
        <v>7633</v>
      </c>
    </row>
    <row r="133" spans="1:13" ht="16.2">
      <c r="A133" s="121">
        <v>227</v>
      </c>
      <c r="B133" s="121" t="s">
        <v>5071</v>
      </c>
      <c r="C133" s="121" t="s">
        <v>7491</v>
      </c>
      <c r="D133" s="121">
        <v>9781522526056</v>
      </c>
      <c r="E133" s="121">
        <v>9781522526049</v>
      </c>
      <c r="F133" s="121" t="s">
        <v>7148</v>
      </c>
      <c r="G133" s="121">
        <v>1</v>
      </c>
      <c r="H133" s="121" t="s">
        <v>6518</v>
      </c>
      <c r="I133" s="121" t="s">
        <v>41</v>
      </c>
      <c r="J133" s="121" t="s">
        <v>568</v>
      </c>
      <c r="K133" s="129">
        <v>2018</v>
      </c>
      <c r="L133" s="121" t="s">
        <v>7499</v>
      </c>
      <c r="M133" s="130" t="s">
        <v>7634</v>
      </c>
    </row>
    <row r="134" spans="1:13" ht="16.2">
      <c r="A134" s="121">
        <v>228</v>
      </c>
      <c r="B134" s="121" t="s">
        <v>5071</v>
      </c>
      <c r="C134" s="121" t="s">
        <v>7491</v>
      </c>
      <c r="D134" s="121">
        <v>9781522526636</v>
      </c>
      <c r="E134" s="121">
        <v>9781522526629</v>
      </c>
      <c r="F134" s="121" t="s">
        <v>7149</v>
      </c>
      <c r="G134" s="121">
        <v>1</v>
      </c>
      <c r="H134" s="121" t="s">
        <v>6518</v>
      </c>
      <c r="I134" s="121" t="s">
        <v>7150</v>
      </c>
      <c r="J134" s="121" t="s">
        <v>568</v>
      </c>
      <c r="K134" s="129">
        <v>2018</v>
      </c>
      <c r="L134" s="121" t="s">
        <v>7499</v>
      </c>
      <c r="M134" s="130" t="s">
        <v>7635</v>
      </c>
    </row>
    <row r="135" spans="1:13" ht="16.2">
      <c r="A135" s="121">
        <v>229</v>
      </c>
      <c r="B135" s="121" t="s">
        <v>5071</v>
      </c>
      <c r="C135" s="121" t="s">
        <v>7491</v>
      </c>
      <c r="D135" s="121">
        <v>9781522526285</v>
      </c>
      <c r="E135" s="121">
        <v>9781522526278</v>
      </c>
      <c r="F135" s="121" t="s">
        <v>7151</v>
      </c>
      <c r="G135" s="121">
        <v>1</v>
      </c>
      <c r="H135" s="121" t="s">
        <v>6518</v>
      </c>
      <c r="I135" s="121" t="s">
        <v>7152</v>
      </c>
      <c r="J135" s="121" t="s">
        <v>568</v>
      </c>
      <c r="K135" s="129">
        <v>2018</v>
      </c>
      <c r="L135" s="121" t="s">
        <v>7499</v>
      </c>
      <c r="M135" s="130" t="s">
        <v>7636</v>
      </c>
    </row>
    <row r="136" spans="1:13" ht="16.2">
      <c r="A136" s="121">
        <v>230</v>
      </c>
      <c r="B136" s="121" t="s">
        <v>5071</v>
      </c>
      <c r="C136" s="121" t="s">
        <v>7491</v>
      </c>
      <c r="D136" s="121">
        <v>9781522521051</v>
      </c>
      <c r="E136" s="121">
        <v>9781522521044</v>
      </c>
      <c r="F136" s="121" t="s">
        <v>7153</v>
      </c>
      <c r="G136" s="121">
        <v>1</v>
      </c>
      <c r="H136" s="121" t="s">
        <v>6518</v>
      </c>
      <c r="I136" s="121" t="s">
        <v>578</v>
      </c>
      <c r="J136" s="121" t="s">
        <v>568</v>
      </c>
      <c r="K136" s="129">
        <v>2017</v>
      </c>
      <c r="L136" s="121" t="s">
        <v>7499</v>
      </c>
      <c r="M136" s="130" t="s">
        <v>7637</v>
      </c>
    </row>
    <row r="137" spans="1:13" ht="16.2">
      <c r="A137" s="121">
        <v>231</v>
      </c>
      <c r="B137" s="121" t="s">
        <v>5071</v>
      </c>
      <c r="C137" s="121" t="s">
        <v>7491</v>
      </c>
      <c r="D137" s="121">
        <v>9781522510291</v>
      </c>
      <c r="E137" s="121">
        <v>9781522510284</v>
      </c>
      <c r="F137" s="121" t="s">
        <v>7154</v>
      </c>
      <c r="G137" s="121">
        <v>1</v>
      </c>
      <c r="H137" s="121" t="s">
        <v>6518</v>
      </c>
      <c r="I137" s="121" t="s">
        <v>2296</v>
      </c>
      <c r="J137" s="121" t="s">
        <v>568</v>
      </c>
      <c r="K137" s="129">
        <v>2017</v>
      </c>
      <c r="L137" s="121" t="s">
        <v>7499</v>
      </c>
      <c r="M137" s="130" t="s">
        <v>7638</v>
      </c>
    </row>
    <row r="138" spans="1:13" ht="16.2">
      <c r="A138" s="121">
        <v>232</v>
      </c>
      <c r="B138" s="121" t="s">
        <v>5071</v>
      </c>
      <c r="C138" s="121" t="s">
        <v>7491</v>
      </c>
      <c r="D138" s="121">
        <v>9781522506362</v>
      </c>
      <c r="E138" s="121">
        <v>9781522506355</v>
      </c>
      <c r="F138" s="121" t="s">
        <v>7155</v>
      </c>
      <c r="G138" s="121">
        <v>1</v>
      </c>
      <c r="H138" s="121" t="s">
        <v>6518</v>
      </c>
      <c r="I138" s="121" t="s">
        <v>7156</v>
      </c>
      <c r="J138" s="121" t="s">
        <v>568</v>
      </c>
      <c r="K138" s="129">
        <v>2017</v>
      </c>
      <c r="L138" s="121" t="s">
        <v>7499</v>
      </c>
      <c r="M138" s="130" t="s">
        <v>7639</v>
      </c>
    </row>
    <row r="139" spans="1:13" ht="16.2">
      <c r="A139" s="121">
        <v>233</v>
      </c>
      <c r="B139" s="121" t="s">
        <v>5071</v>
      </c>
      <c r="C139" s="121" t="s">
        <v>7492</v>
      </c>
      <c r="D139" s="121">
        <v>9781522549376</v>
      </c>
      <c r="E139" s="121">
        <v>9781522549369</v>
      </c>
      <c r="F139" s="121" t="s">
        <v>7640</v>
      </c>
      <c r="G139" s="121">
        <v>1</v>
      </c>
      <c r="H139" s="121" t="s">
        <v>6518</v>
      </c>
      <c r="I139" s="121" t="s">
        <v>7641</v>
      </c>
      <c r="J139" s="121" t="s">
        <v>568</v>
      </c>
      <c r="K139" s="129">
        <v>2019</v>
      </c>
      <c r="L139" s="121" t="s">
        <v>7499</v>
      </c>
      <c r="M139" s="130" t="s">
        <v>7642</v>
      </c>
    </row>
    <row r="140" spans="1:13" ht="16.2">
      <c r="A140" s="121">
        <v>234</v>
      </c>
      <c r="B140" s="121" t="s">
        <v>5071</v>
      </c>
      <c r="C140" s="121" t="s">
        <v>7492</v>
      </c>
      <c r="D140" s="121">
        <v>9781522540366</v>
      </c>
      <c r="E140" s="121">
        <v>9781522540359</v>
      </c>
      <c r="F140" s="121" t="s">
        <v>7157</v>
      </c>
      <c r="G140" s="121">
        <v>1</v>
      </c>
      <c r="H140" s="121" t="s">
        <v>6518</v>
      </c>
      <c r="I140" s="121" t="s">
        <v>7158</v>
      </c>
      <c r="J140" s="121" t="s">
        <v>568</v>
      </c>
      <c r="K140" s="129">
        <v>2018</v>
      </c>
      <c r="L140" s="121" t="s">
        <v>7499</v>
      </c>
      <c r="M140" s="130" t="s">
        <v>7643</v>
      </c>
    </row>
    <row r="141" spans="1:13" ht="16.2">
      <c r="A141" s="121">
        <v>235</v>
      </c>
      <c r="B141" s="121" t="s">
        <v>5071</v>
      </c>
      <c r="C141" s="121" t="s">
        <v>7492</v>
      </c>
      <c r="D141" s="121">
        <v>9781522553243</v>
      </c>
      <c r="E141" s="121">
        <v>9781522553236</v>
      </c>
      <c r="F141" s="121" t="s">
        <v>7159</v>
      </c>
      <c r="G141" s="121">
        <v>1</v>
      </c>
      <c r="H141" s="121" t="s">
        <v>6518</v>
      </c>
      <c r="I141" s="121" t="s">
        <v>658</v>
      </c>
      <c r="J141" s="121" t="s">
        <v>568</v>
      </c>
      <c r="K141" s="129">
        <v>2018</v>
      </c>
      <c r="L141" s="121" t="s">
        <v>7499</v>
      </c>
      <c r="M141" s="130" t="s">
        <v>7644</v>
      </c>
    </row>
    <row r="142" spans="1:13" ht="16.2">
      <c r="A142" s="121">
        <v>236</v>
      </c>
      <c r="B142" s="121" t="s">
        <v>5071</v>
      </c>
      <c r="C142" s="121" t="s">
        <v>7492</v>
      </c>
      <c r="D142" s="121">
        <v>9781522551133</v>
      </c>
      <c r="E142" s="121">
        <v>9781522551126</v>
      </c>
      <c r="F142" s="121" t="s">
        <v>7160</v>
      </c>
      <c r="G142" s="121">
        <v>1</v>
      </c>
      <c r="H142" s="121" t="s">
        <v>6518</v>
      </c>
      <c r="I142" s="121" t="s">
        <v>7161</v>
      </c>
      <c r="J142" s="121" t="s">
        <v>568</v>
      </c>
      <c r="K142" s="129">
        <v>2018</v>
      </c>
      <c r="L142" s="121" t="s">
        <v>7499</v>
      </c>
      <c r="M142" s="130" t="s">
        <v>7645</v>
      </c>
    </row>
    <row r="143" spans="1:13" ht="16.2">
      <c r="A143" s="121">
        <v>237</v>
      </c>
      <c r="B143" s="121" t="s">
        <v>5071</v>
      </c>
      <c r="C143" s="121" t="s">
        <v>7492</v>
      </c>
      <c r="D143" s="121">
        <v>9781522534693</v>
      </c>
      <c r="E143" s="121">
        <v>9781522534686</v>
      </c>
      <c r="F143" s="121" t="s">
        <v>7162</v>
      </c>
      <c r="G143" s="121">
        <v>1</v>
      </c>
      <c r="H143" s="121" t="s">
        <v>6518</v>
      </c>
      <c r="I143" s="121" t="s">
        <v>7163</v>
      </c>
      <c r="J143" s="121" t="s">
        <v>568</v>
      </c>
      <c r="K143" s="129">
        <v>2018</v>
      </c>
      <c r="L143" s="121" t="s">
        <v>7499</v>
      </c>
      <c r="M143" s="130" t="s">
        <v>7646</v>
      </c>
    </row>
    <row r="144" spans="1:13" ht="16.2">
      <c r="A144" s="121">
        <v>238</v>
      </c>
      <c r="B144" s="121" t="s">
        <v>5071</v>
      </c>
      <c r="C144" s="121" t="s">
        <v>7492</v>
      </c>
      <c r="D144" s="121">
        <v>9781522550983</v>
      </c>
      <c r="E144" s="121">
        <v>9781522550976</v>
      </c>
      <c r="F144" s="121" t="s">
        <v>7164</v>
      </c>
      <c r="G144" s="121">
        <v>1</v>
      </c>
      <c r="H144" s="121" t="s">
        <v>6518</v>
      </c>
      <c r="I144" s="121" t="s">
        <v>7165</v>
      </c>
      <c r="J144" s="121" t="s">
        <v>568</v>
      </c>
      <c r="K144" s="129">
        <v>2018</v>
      </c>
      <c r="L144" s="121" t="s">
        <v>7499</v>
      </c>
      <c r="M144" s="130" t="s">
        <v>7647</v>
      </c>
    </row>
    <row r="145" spans="1:13" ht="16.2">
      <c r="A145" s="121">
        <v>239</v>
      </c>
      <c r="B145" s="121" t="s">
        <v>5071</v>
      </c>
      <c r="C145" s="121" t="s">
        <v>7492</v>
      </c>
      <c r="D145" s="121">
        <v>9781522554769</v>
      </c>
      <c r="E145" s="121">
        <v>9781522554752</v>
      </c>
      <c r="F145" s="121" t="s">
        <v>7166</v>
      </c>
      <c r="G145" s="121">
        <v>1</v>
      </c>
      <c r="H145" s="121" t="s">
        <v>6518</v>
      </c>
      <c r="I145" s="121" t="s">
        <v>1424</v>
      </c>
      <c r="J145" s="121" t="s">
        <v>568</v>
      </c>
      <c r="K145" s="129">
        <v>2018</v>
      </c>
      <c r="L145" s="121" t="s">
        <v>7499</v>
      </c>
      <c r="M145" s="130" t="s">
        <v>7648</v>
      </c>
    </row>
    <row r="146" spans="1:13" ht="16.2">
      <c r="A146" s="121">
        <v>240</v>
      </c>
      <c r="B146" s="121" t="s">
        <v>5071</v>
      </c>
      <c r="C146" s="121" t="s">
        <v>7492</v>
      </c>
      <c r="D146" s="121">
        <v>9781522540632</v>
      </c>
      <c r="E146" s="121">
        <v>9781522540625</v>
      </c>
      <c r="F146" s="121" t="s">
        <v>7167</v>
      </c>
      <c r="G146" s="121">
        <v>1</v>
      </c>
      <c r="H146" s="121" t="s">
        <v>6518</v>
      </c>
      <c r="I146" s="121" t="s">
        <v>7168</v>
      </c>
      <c r="J146" s="121" t="s">
        <v>568</v>
      </c>
      <c r="K146" s="129">
        <v>2018</v>
      </c>
      <c r="L146" s="121" t="s">
        <v>7499</v>
      </c>
      <c r="M146" s="130" t="s">
        <v>7649</v>
      </c>
    </row>
    <row r="147" spans="1:13" ht="16.2">
      <c r="A147" s="121">
        <v>241</v>
      </c>
      <c r="B147" s="121" t="s">
        <v>5071</v>
      </c>
      <c r="C147" s="121" t="s">
        <v>7492</v>
      </c>
      <c r="D147" s="121">
        <v>9781522549857</v>
      </c>
      <c r="E147" s="121">
        <v>9781522549840</v>
      </c>
      <c r="F147" s="121" t="s">
        <v>7169</v>
      </c>
      <c r="G147" s="121">
        <v>1</v>
      </c>
      <c r="H147" s="121" t="s">
        <v>6518</v>
      </c>
      <c r="I147" s="121" t="s">
        <v>7170</v>
      </c>
      <c r="J147" s="121" t="s">
        <v>568</v>
      </c>
      <c r="K147" s="129">
        <v>2018</v>
      </c>
      <c r="L147" s="121" t="s">
        <v>7499</v>
      </c>
      <c r="M147" s="130" t="s">
        <v>7650</v>
      </c>
    </row>
    <row r="148" spans="1:13" ht="16.2">
      <c r="A148" s="121">
        <v>242</v>
      </c>
      <c r="B148" s="121" t="s">
        <v>5071</v>
      </c>
      <c r="C148" s="121" t="s">
        <v>7492</v>
      </c>
      <c r="D148" s="121">
        <v>9781522548294</v>
      </c>
      <c r="E148" s="121">
        <v>9781522548287</v>
      </c>
      <c r="F148" s="121" t="s">
        <v>7171</v>
      </c>
      <c r="G148" s="121">
        <v>1</v>
      </c>
      <c r="H148" s="121" t="s">
        <v>6518</v>
      </c>
      <c r="I148" s="121" t="s">
        <v>7172</v>
      </c>
      <c r="J148" s="121" t="s">
        <v>568</v>
      </c>
      <c r="K148" s="129">
        <v>2018</v>
      </c>
      <c r="L148" s="121" t="s">
        <v>7499</v>
      </c>
      <c r="M148" s="130" t="s">
        <v>7651</v>
      </c>
    </row>
    <row r="149" spans="1:13" ht="16.2">
      <c r="A149" s="121">
        <v>243</v>
      </c>
      <c r="B149" s="121" t="s">
        <v>5071</v>
      </c>
      <c r="C149" s="121" t="s">
        <v>7492</v>
      </c>
      <c r="D149" s="121">
        <v>9781522551447</v>
      </c>
      <c r="E149" s="121">
        <v>9781522551430</v>
      </c>
      <c r="F149" s="121" t="s">
        <v>7173</v>
      </c>
      <c r="G149" s="121">
        <v>1</v>
      </c>
      <c r="H149" s="121" t="s">
        <v>6518</v>
      </c>
      <c r="I149" s="121" t="s">
        <v>7174</v>
      </c>
      <c r="J149" s="121" t="s">
        <v>568</v>
      </c>
      <c r="K149" s="129">
        <v>2018</v>
      </c>
      <c r="L149" s="121" t="s">
        <v>7499</v>
      </c>
      <c r="M149" s="130" t="s">
        <v>7652</v>
      </c>
    </row>
    <row r="150" spans="1:13" ht="16.2">
      <c r="A150" s="121">
        <v>244</v>
      </c>
      <c r="B150" s="121" t="s">
        <v>5071</v>
      </c>
      <c r="C150" s="121" t="s">
        <v>7492</v>
      </c>
      <c r="D150" s="121">
        <v>9781522548355</v>
      </c>
      <c r="E150" s="121">
        <v>9781522548348</v>
      </c>
      <c r="F150" s="121" t="s">
        <v>7175</v>
      </c>
      <c r="G150" s="121">
        <v>1</v>
      </c>
      <c r="H150" s="121" t="s">
        <v>6518</v>
      </c>
      <c r="I150" s="121" t="s">
        <v>7176</v>
      </c>
      <c r="J150" s="121" t="s">
        <v>568</v>
      </c>
      <c r="K150" s="129">
        <v>2018</v>
      </c>
      <c r="L150" s="121" t="s">
        <v>7499</v>
      </c>
      <c r="M150" s="130" t="s">
        <v>7653</v>
      </c>
    </row>
    <row r="151" spans="1:13" ht="16.2">
      <c r="A151" s="121">
        <v>245</v>
      </c>
      <c r="B151" s="121" t="s">
        <v>5071</v>
      </c>
      <c r="C151" s="121" t="s">
        <v>7492</v>
      </c>
      <c r="D151" s="121">
        <v>9781522530572</v>
      </c>
      <c r="E151" s="121">
        <v>9781522530565</v>
      </c>
      <c r="F151" s="121" t="s">
        <v>7177</v>
      </c>
      <c r="G151" s="121">
        <v>1</v>
      </c>
      <c r="H151" s="121" t="s">
        <v>6518</v>
      </c>
      <c r="I151" s="121" t="s">
        <v>7178</v>
      </c>
      <c r="J151" s="121" t="s">
        <v>568</v>
      </c>
      <c r="K151" s="129">
        <v>2018</v>
      </c>
      <c r="L151" s="121" t="s">
        <v>7499</v>
      </c>
      <c r="M151" s="130" t="s">
        <v>7654</v>
      </c>
    </row>
    <row r="152" spans="1:13" ht="16.2">
      <c r="A152" s="121">
        <v>246</v>
      </c>
      <c r="B152" s="121" t="s">
        <v>5071</v>
      </c>
      <c r="C152" s="121" t="s">
        <v>7492</v>
      </c>
      <c r="D152" s="121">
        <v>9781522531517</v>
      </c>
      <c r="E152" s="121">
        <v>9781522531500</v>
      </c>
      <c r="F152" s="121" t="s">
        <v>7179</v>
      </c>
      <c r="G152" s="121">
        <v>1</v>
      </c>
      <c r="H152" s="121" t="s">
        <v>6518</v>
      </c>
      <c r="I152" s="121" t="s">
        <v>7180</v>
      </c>
      <c r="J152" s="121" t="s">
        <v>568</v>
      </c>
      <c r="K152" s="129">
        <v>2018</v>
      </c>
      <c r="L152" s="121" t="s">
        <v>7499</v>
      </c>
      <c r="M152" s="130" t="s">
        <v>7655</v>
      </c>
    </row>
    <row r="153" spans="1:13" ht="16.2">
      <c r="A153" s="121">
        <v>247</v>
      </c>
      <c r="B153" s="121" t="s">
        <v>5071</v>
      </c>
      <c r="C153" s="121" t="s">
        <v>7492</v>
      </c>
      <c r="D153" s="121">
        <v>9781522537052</v>
      </c>
      <c r="E153" s="121">
        <v>9781522537045</v>
      </c>
      <c r="F153" s="121" t="s">
        <v>7181</v>
      </c>
      <c r="G153" s="121">
        <v>1</v>
      </c>
      <c r="H153" s="121" t="s">
        <v>6518</v>
      </c>
      <c r="I153" s="121" t="s">
        <v>7182</v>
      </c>
      <c r="J153" s="121" t="s">
        <v>568</v>
      </c>
      <c r="K153" s="129">
        <v>2018</v>
      </c>
      <c r="L153" s="121" t="s">
        <v>7499</v>
      </c>
      <c r="M153" s="130" t="s">
        <v>7656</v>
      </c>
    </row>
    <row r="154" spans="1:13" ht="16.2">
      <c r="A154" s="121">
        <v>248</v>
      </c>
      <c r="B154" s="121" t="s">
        <v>5071</v>
      </c>
      <c r="C154" s="121" t="s">
        <v>7492</v>
      </c>
      <c r="D154" s="121">
        <v>9781522529132</v>
      </c>
      <c r="E154" s="121">
        <v>9781522529125</v>
      </c>
      <c r="F154" s="121" t="s">
        <v>7183</v>
      </c>
      <c r="G154" s="121">
        <v>1</v>
      </c>
      <c r="H154" s="121" t="s">
        <v>6518</v>
      </c>
      <c r="I154" s="121" t="s">
        <v>7184</v>
      </c>
      <c r="J154" s="121" t="s">
        <v>568</v>
      </c>
      <c r="K154" s="129">
        <v>2018</v>
      </c>
      <c r="L154" s="121" t="s">
        <v>7499</v>
      </c>
      <c r="M154" s="130" t="s">
        <v>7657</v>
      </c>
    </row>
    <row r="155" spans="1:13" ht="16.2">
      <c r="A155" s="121">
        <v>249</v>
      </c>
      <c r="B155" s="121" t="s">
        <v>5071</v>
      </c>
      <c r="C155" s="121" t="s">
        <v>7492</v>
      </c>
      <c r="D155" s="121">
        <v>9781522539100</v>
      </c>
      <c r="E155" s="121">
        <v>9781522539094</v>
      </c>
      <c r="F155" s="121" t="s">
        <v>7185</v>
      </c>
      <c r="G155" s="121">
        <v>3</v>
      </c>
      <c r="H155" s="121" t="s">
        <v>6518</v>
      </c>
      <c r="I155" s="121" t="s">
        <v>1424</v>
      </c>
      <c r="J155" s="121" t="s">
        <v>568</v>
      </c>
      <c r="K155" s="129">
        <v>2018</v>
      </c>
      <c r="L155" s="121" t="s">
        <v>7499</v>
      </c>
      <c r="M155" s="130" t="s">
        <v>7658</v>
      </c>
    </row>
    <row r="156" spans="1:13" ht="16.2">
      <c r="A156" s="121">
        <v>250</v>
      </c>
      <c r="B156" s="121" t="s">
        <v>5071</v>
      </c>
      <c r="C156" s="121" t="s">
        <v>7492</v>
      </c>
      <c r="D156" s="121">
        <v>9781522526988</v>
      </c>
      <c r="E156" s="121">
        <v>9781522526971</v>
      </c>
      <c r="F156" s="121" t="s">
        <v>7186</v>
      </c>
      <c r="G156" s="121">
        <v>1</v>
      </c>
      <c r="H156" s="121" t="s">
        <v>6518</v>
      </c>
      <c r="I156" s="121" t="s">
        <v>7187</v>
      </c>
      <c r="J156" s="121" t="s">
        <v>568</v>
      </c>
      <c r="K156" s="129">
        <v>2018</v>
      </c>
      <c r="L156" s="121" t="s">
        <v>7499</v>
      </c>
      <c r="M156" s="130" t="s">
        <v>7659</v>
      </c>
    </row>
    <row r="157" spans="1:13" ht="16.2">
      <c r="A157" s="121">
        <v>251</v>
      </c>
      <c r="B157" s="121" t="s">
        <v>5071</v>
      </c>
      <c r="C157" s="121" t="s">
        <v>7492</v>
      </c>
      <c r="D157" s="121">
        <v>9781522528272</v>
      </c>
      <c r="E157" s="121">
        <v>9781522528265</v>
      </c>
      <c r="F157" s="121" t="s">
        <v>7188</v>
      </c>
      <c r="G157" s="121">
        <v>1</v>
      </c>
      <c r="H157" s="121" t="s">
        <v>6518</v>
      </c>
      <c r="I157" s="121" t="s">
        <v>5472</v>
      </c>
      <c r="J157" s="121" t="s">
        <v>568</v>
      </c>
      <c r="K157" s="129">
        <v>2018</v>
      </c>
      <c r="L157" s="121" t="s">
        <v>7499</v>
      </c>
      <c r="M157" s="130" t="s">
        <v>7660</v>
      </c>
    </row>
    <row r="158" spans="1:13" ht="16.2">
      <c r="A158" s="121">
        <v>252</v>
      </c>
      <c r="B158" s="121" t="s">
        <v>5071</v>
      </c>
      <c r="C158" s="121" t="s">
        <v>7492</v>
      </c>
      <c r="D158" s="121">
        <v>9781522532217</v>
      </c>
      <c r="E158" s="121">
        <v>9781522532200</v>
      </c>
      <c r="F158" s="121" t="s">
        <v>7189</v>
      </c>
      <c r="G158" s="121">
        <v>1</v>
      </c>
      <c r="H158" s="121" t="s">
        <v>6518</v>
      </c>
      <c r="I158" s="121" t="s">
        <v>5786</v>
      </c>
      <c r="J158" s="121" t="s">
        <v>568</v>
      </c>
      <c r="K158" s="129">
        <v>2018</v>
      </c>
      <c r="L158" s="121" t="s">
        <v>7499</v>
      </c>
      <c r="M158" s="130" t="s">
        <v>7661</v>
      </c>
    </row>
    <row r="159" spans="1:13" ht="16.2">
      <c r="A159" s="121">
        <v>253</v>
      </c>
      <c r="B159" s="121" t="s">
        <v>5071</v>
      </c>
      <c r="C159" s="121" t="s">
        <v>7492</v>
      </c>
      <c r="D159" s="121">
        <v>9781522529224</v>
      </c>
      <c r="E159" s="121">
        <v>9781522529217</v>
      </c>
      <c r="F159" s="121" t="s">
        <v>7190</v>
      </c>
      <c r="G159" s="121">
        <v>1</v>
      </c>
      <c r="H159" s="121" t="s">
        <v>6518</v>
      </c>
      <c r="I159" s="121" t="s">
        <v>7191</v>
      </c>
      <c r="J159" s="121" t="s">
        <v>568</v>
      </c>
      <c r="K159" s="129">
        <v>2018</v>
      </c>
      <c r="L159" s="121" t="s">
        <v>7499</v>
      </c>
      <c r="M159" s="130" t="s">
        <v>7662</v>
      </c>
    </row>
    <row r="160" spans="1:13" ht="16.2">
      <c r="A160" s="121">
        <v>254</v>
      </c>
      <c r="B160" s="121" t="s">
        <v>5071</v>
      </c>
      <c r="C160" s="121" t="s">
        <v>7492</v>
      </c>
      <c r="D160" s="121">
        <v>9781522530398</v>
      </c>
      <c r="E160" s="121">
        <v>9781522530381</v>
      </c>
      <c r="F160" s="121" t="s">
        <v>7192</v>
      </c>
      <c r="G160" s="121">
        <v>1</v>
      </c>
      <c r="H160" s="121" t="s">
        <v>6518</v>
      </c>
      <c r="I160" s="121" t="s">
        <v>5661</v>
      </c>
      <c r="J160" s="121" t="s">
        <v>568</v>
      </c>
      <c r="K160" s="129">
        <v>2018</v>
      </c>
      <c r="L160" s="121" t="s">
        <v>7499</v>
      </c>
      <c r="M160" s="130" t="s">
        <v>7663</v>
      </c>
    </row>
    <row r="161" spans="1:13" ht="16.2">
      <c r="A161" s="121">
        <v>255</v>
      </c>
      <c r="B161" s="121" t="s">
        <v>5071</v>
      </c>
      <c r="C161" s="121" t="s">
        <v>7492</v>
      </c>
      <c r="D161" s="121">
        <v>9781522524182</v>
      </c>
      <c r="E161" s="121">
        <v>9781522524175</v>
      </c>
      <c r="F161" s="121" t="s">
        <v>7193</v>
      </c>
      <c r="G161" s="121">
        <v>1</v>
      </c>
      <c r="H161" s="121" t="s">
        <v>6518</v>
      </c>
      <c r="I161" s="121" t="s">
        <v>7194</v>
      </c>
      <c r="J161" s="121" t="s">
        <v>568</v>
      </c>
      <c r="K161" s="129">
        <v>2018</v>
      </c>
      <c r="L161" s="121" t="s">
        <v>7499</v>
      </c>
      <c r="M161" s="130" t="s">
        <v>7664</v>
      </c>
    </row>
    <row r="162" spans="1:13" ht="16.2">
      <c r="A162" s="121">
        <v>256</v>
      </c>
      <c r="B162" s="121" t="s">
        <v>5071</v>
      </c>
      <c r="C162" s="121" t="s">
        <v>7492</v>
      </c>
      <c r="D162" s="121">
        <v>9781522533092</v>
      </c>
      <c r="E162" s="121">
        <v>9781522525097</v>
      </c>
      <c r="F162" s="121" t="s">
        <v>7195</v>
      </c>
      <c r="G162" s="121">
        <v>1</v>
      </c>
      <c r="H162" s="121" t="s">
        <v>6518</v>
      </c>
      <c r="I162" s="121" t="s">
        <v>7196</v>
      </c>
      <c r="J162" s="121" t="s">
        <v>568</v>
      </c>
      <c r="K162" s="129">
        <v>2017</v>
      </c>
      <c r="L162" s="121" t="s">
        <v>7499</v>
      </c>
      <c r="M162" s="130" t="s">
        <v>7665</v>
      </c>
    </row>
    <row r="163" spans="1:13" ht="16.2">
      <c r="A163" s="121">
        <v>257</v>
      </c>
      <c r="B163" s="121" t="s">
        <v>5071</v>
      </c>
      <c r="C163" s="121" t="s">
        <v>7492</v>
      </c>
      <c r="D163" s="121">
        <v>9781522524410</v>
      </c>
      <c r="E163" s="121">
        <v>9781522524403</v>
      </c>
      <c r="F163" s="121" t="s">
        <v>7197</v>
      </c>
      <c r="G163" s="121">
        <v>1</v>
      </c>
      <c r="H163" s="121" t="s">
        <v>6518</v>
      </c>
      <c r="I163" s="121" t="s">
        <v>7198</v>
      </c>
      <c r="J163" s="121" t="s">
        <v>568</v>
      </c>
      <c r="K163" s="129">
        <v>2017</v>
      </c>
      <c r="L163" s="121" t="s">
        <v>7499</v>
      </c>
      <c r="M163" s="130" t="s">
        <v>7666</v>
      </c>
    </row>
    <row r="164" spans="1:13" ht="16.2">
      <c r="A164" s="121">
        <v>258</v>
      </c>
      <c r="B164" s="121" t="s">
        <v>5071</v>
      </c>
      <c r="C164" s="121" t="s">
        <v>7492</v>
      </c>
      <c r="D164" s="121">
        <v>9781522522690</v>
      </c>
      <c r="E164" s="121">
        <v>9781522522683</v>
      </c>
      <c r="F164" s="121" t="s">
        <v>7199</v>
      </c>
      <c r="G164" s="121">
        <v>1</v>
      </c>
      <c r="H164" s="121" t="s">
        <v>6518</v>
      </c>
      <c r="I164" s="121" t="s">
        <v>7200</v>
      </c>
      <c r="J164" s="121" t="s">
        <v>569</v>
      </c>
      <c r="K164" s="129">
        <v>2017</v>
      </c>
      <c r="L164" s="121" t="s">
        <v>7499</v>
      </c>
      <c r="M164" s="130" t="s">
        <v>7667</v>
      </c>
    </row>
    <row r="165" spans="1:13" ht="16.2">
      <c r="A165" s="121">
        <v>259</v>
      </c>
      <c r="B165" s="121" t="s">
        <v>5071</v>
      </c>
      <c r="C165" s="121" t="s">
        <v>7492</v>
      </c>
      <c r="D165" s="121">
        <v>9781522537410</v>
      </c>
      <c r="E165" s="121">
        <v>9781522523314</v>
      </c>
      <c r="F165" s="121" t="s">
        <v>7201</v>
      </c>
      <c r="G165" s="121">
        <v>1</v>
      </c>
      <c r="H165" s="121" t="s">
        <v>6518</v>
      </c>
      <c r="I165" s="121" t="s">
        <v>7202</v>
      </c>
      <c r="J165" s="121" t="s">
        <v>568</v>
      </c>
      <c r="K165" s="129">
        <v>2017</v>
      </c>
      <c r="L165" s="121" t="s">
        <v>7499</v>
      </c>
      <c r="M165" s="130" t="s">
        <v>7668</v>
      </c>
    </row>
    <row r="166" spans="1:13" ht="16.2">
      <c r="A166" s="121">
        <v>260</v>
      </c>
      <c r="B166" s="121" t="s">
        <v>5071</v>
      </c>
      <c r="C166" s="121" t="s">
        <v>7492</v>
      </c>
      <c r="D166" s="121">
        <v>9781522520375</v>
      </c>
      <c r="E166" s="121">
        <v>9781522520368</v>
      </c>
      <c r="F166" s="121" t="s">
        <v>7203</v>
      </c>
      <c r="G166" s="121">
        <v>1</v>
      </c>
      <c r="H166" s="121" t="s">
        <v>6518</v>
      </c>
      <c r="I166" s="121" t="s">
        <v>5242</v>
      </c>
      <c r="J166" s="121" t="s">
        <v>568</v>
      </c>
      <c r="K166" s="129">
        <v>2017</v>
      </c>
      <c r="L166" s="121" t="s">
        <v>7499</v>
      </c>
      <c r="M166" s="130" t="s">
        <v>7669</v>
      </c>
    </row>
    <row r="167" spans="1:13" ht="16.2">
      <c r="A167" s="121">
        <v>261</v>
      </c>
      <c r="B167" s="121" t="s">
        <v>5071</v>
      </c>
      <c r="C167" s="121" t="s">
        <v>7492</v>
      </c>
      <c r="D167" s="121">
        <v>9781522518662</v>
      </c>
      <c r="E167" s="121">
        <v>9781522518655</v>
      </c>
      <c r="F167" s="121" t="s">
        <v>7204</v>
      </c>
      <c r="G167" s="121">
        <v>1</v>
      </c>
      <c r="H167" s="121" t="s">
        <v>6518</v>
      </c>
      <c r="I167" s="121" t="s">
        <v>7205</v>
      </c>
      <c r="J167" s="121" t="s">
        <v>568</v>
      </c>
      <c r="K167" s="129">
        <v>2017</v>
      </c>
      <c r="L167" s="121" t="s">
        <v>7499</v>
      </c>
      <c r="M167" s="130" t="s">
        <v>7670</v>
      </c>
    </row>
    <row r="168" spans="1:13" ht="16.2">
      <c r="A168" s="121">
        <v>262</v>
      </c>
      <c r="B168" s="121" t="s">
        <v>5071</v>
      </c>
      <c r="C168" s="121" t="s">
        <v>7492</v>
      </c>
      <c r="D168" s="121">
        <v>9781522516873</v>
      </c>
      <c r="E168" s="121">
        <v>9781522516866</v>
      </c>
      <c r="F168" s="121" t="s">
        <v>7206</v>
      </c>
      <c r="G168" s="121">
        <v>1</v>
      </c>
      <c r="H168" s="121" t="s">
        <v>6518</v>
      </c>
      <c r="I168" s="121" t="s">
        <v>7207</v>
      </c>
      <c r="J168" s="121" t="s">
        <v>568</v>
      </c>
      <c r="K168" s="129">
        <v>2017</v>
      </c>
      <c r="L168" s="121" t="s">
        <v>7499</v>
      </c>
      <c r="M168" s="130" t="s">
        <v>7671</v>
      </c>
    </row>
    <row r="169" spans="1:13" ht="16.2">
      <c r="A169" s="121">
        <v>263</v>
      </c>
      <c r="B169" s="121" t="s">
        <v>5071</v>
      </c>
      <c r="C169" s="121" t="s">
        <v>7492</v>
      </c>
      <c r="D169" s="121">
        <v>9781522509981</v>
      </c>
      <c r="E169" s="121">
        <v>9781522509974</v>
      </c>
      <c r="F169" s="121" t="s">
        <v>7208</v>
      </c>
      <c r="G169" s="121">
        <v>1</v>
      </c>
      <c r="H169" s="121" t="s">
        <v>6518</v>
      </c>
      <c r="I169" s="121" t="s">
        <v>6571</v>
      </c>
      <c r="J169" s="121" t="s">
        <v>568</v>
      </c>
      <c r="K169" s="129">
        <v>2017</v>
      </c>
      <c r="L169" s="121" t="s">
        <v>7499</v>
      </c>
      <c r="M169" s="130" t="s">
        <v>7672</v>
      </c>
    </row>
    <row r="170" spans="1:13" ht="16.2">
      <c r="A170" s="121">
        <v>264</v>
      </c>
      <c r="B170" s="121" t="s">
        <v>5071</v>
      </c>
      <c r="C170" s="121" t="s">
        <v>7492</v>
      </c>
      <c r="D170" s="121">
        <v>9781522506553</v>
      </c>
      <c r="E170" s="121">
        <v>9781522506546</v>
      </c>
      <c r="F170" s="121" t="s">
        <v>7209</v>
      </c>
      <c r="G170" s="121">
        <v>1</v>
      </c>
      <c r="H170" s="121" t="s">
        <v>6518</v>
      </c>
      <c r="I170" s="121" t="s">
        <v>572</v>
      </c>
      <c r="J170" s="121" t="s">
        <v>568</v>
      </c>
      <c r="K170" s="129">
        <v>2017</v>
      </c>
      <c r="L170" s="121" t="s">
        <v>7499</v>
      </c>
      <c r="M170" s="130" t="s">
        <v>7673</v>
      </c>
    </row>
    <row r="171" spans="1:13" ht="16.2">
      <c r="A171" s="121">
        <v>265</v>
      </c>
      <c r="B171" s="121" t="s">
        <v>5071</v>
      </c>
      <c r="C171" s="121" t="s">
        <v>7492</v>
      </c>
      <c r="D171" s="121">
        <v>9781466697386</v>
      </c>
      <c r="E171" s="121">
        <v>9781466697379</v>
      </c>
      <c r="F171" s="121" t="s">
        <v>7210</v>
      </c>
      <c r="G171" s="121">
        <v>1</v>
      </c>
      <c r="H171" s="121" t="s">
        <v>6518</v>
      </c>
      <c r="I171" s="121" t="s">
        <v>2085</v>
      </c>
      <c r="J171" s="121" t="s">
        <v>568</v>
      </c>
      <c r="K171" s="129">
        <v>2016</v>
      </c>
      <c r="L171" s="121" t="s">
        <v>7499</v>
      </c>
      <c r="M171" s="130" t="s">
        <v>7674</v>
      </c>
    </row>
    <row r="172" spans="1:13" ht="16.2">
      <c r="A172" s="121">
        <v>266</v>
      </c>
      <c r="B172" s="121" t="s">
        <v>5071</v>
      </c>
      <c r="C172" s="121" t="s">
        <v>7675</v>
      </c>
      <c r="D172" s="121">
        <v>9781522550891</v>
      </c>
      <c r="E172" s="121">
        <v>9781522550884</v>
      </c>
      <c r="F172" s="121" t="s">
        <v>7211</v>
      </c>
      <c r="G172" s="121">
        <v>1</v>
      </c>
      <c r="H172" s="121" t="s">
        <v>6518</v>
      </c>
      <c r="I172" s="121" t="s">
        <v>7212</v>
      </c>
      <c r="J172" s="121" t="s">
        <v>568</v>
      </c>
      <c r="K172" s="129">
        <v>2018</v>
      </c>
      <c r="L172" s="121" t="s">
        <v>7499</v>
      </c>
      <c r="M172" s="130" t="s">
        <v>7676</v>
      </c>
    </row>
    <row r="173" spans="1:13" ht="16.2">
      <c r="A173" s="121">
        <v>267</v>
      </c>
      <c r="B173" s="121" t="s">
        <v>5071</v>
      </c>
      <c r="C173" s="121" t="s">
        <v>7675</v>
      </c>
      <c r="D173" s="121">
        <v>9781522527978</v>
      </c>
      <c r="E173" s="121">
        <v>9781522527961</v>
      </c>
      <c r="F173" s="121" t="s">
        <v>7213</v>
      </c>
      <c r="G173" s="121">
        <v>1</v>
      </c>
      <c r="H173" s="121" t="s">
        <v>6518</v>
      </c>
      <c r="I173" s="121" t="s">
        <v>1634</v>
      </c>
      <c r="J173" s="121" t="s">
        <v>568</v>
      </c>
      <c r="K173" s="129">
        <v>2018</v>
      </c>
      <c r="L173" s="121" t="s">
        <v>7499</v>
      </c>
      <c r="M173" s="130" t="s">
        <v>7677</v>
      </c>
    </row>
    <row r="174" spans="1:13" ht="16.2">
      <c r="A174" s="121">
        <v>268</v>
      </c>
      <c r="B174" s="121" t="s">
        <v>5071</v>
      </c>
      <c r="C174" s="121" t="s">
        <v>7675</v>
      </c>
      <c r="D174" s="121">
        <v>9781522526957</v>
      </c>
      <c r="E174" s="121">
        <v>9781522526940</v>
      </c>
      <c r="F174" s="121" t="s">
        <v>7214</v>
      </c>
      <c r="G174" s="121">
        <v>1</v>
      </c>
      <c r="H174" s="121" t="s">
        <v>6518</v>
      </c>
      <c r="I174" s="121" t="s">
        <v>7215</v>
      </c>
      <c r="J174" s="121" t="s">
        <v>568</v>
      </c>
      <c r="K174" s="129">
        <v>2018</v>
      </c>
      <c r="L174" s="121" t="s">
        <v>7499</v>
      </c>
      <c r="M174" s="130" t="s">
        <v>7678</v>
      </c>
    </row>
    <row r="175" spans="1:13" ht="16.2">
      <c r="A175" s="121">
        <v>269</v>
      </c>
      <c r="B175" s="121" t="s">
        <v>5071</v>
      </c>
      <c r="C175" s="121" t="s">
        <v>7675</v>
      </c>
      <c r="D175" s="121">
        <v>9781522529286</v>
      </c>
      <c r="E175" s="121">
        <v>9781522529279</v>
      </c>
      <c r="F175" s="121" t="s">
        <v>7216</v>
      </c>
      <c r="G175" s="121">
        <v>1</v>
      </c>
      <c r="H175" s="121" t="s">
        <v>6518</v>
      </c>
      <c r="I175" s="121" t="s">
        <v>7217</v>
      </c>
      <c r="J175" s="121" t="s">
        <v>568</v>
      </c>
      <c r="K175" s="129">
        <v>2018</v>
      </c>
      <c r="L175" s="121" t="s">
        <v>7499</v>
      </c>
      <c r="M175" s="130" t="s">
        <v>7679</v>
      </c>
    </row>
    <row r="176" spans="1:13" ht="16.2">
      <c r="A176" s="121">
        <v>270</v>
      </c>
      <c r="B176" s="121" t="s">
        <v>5071</v>
      </c>
      <c r="C176" s="121" t="s">
        <v>7675</v>
      </c>
      <c r="D176" s="121">
        <v>9781522539216</v>
      </c>
      <c r="E176" s="121">
        <v>9781522539209</v>
      </c>
      <c r="F176" s="121" t="s">
        <v>7218</v>
      </c>
      <c r="G176" s="121">
        <v>1</v>
      </c>
      <c r="H176" s="121" t="s">
        <v>6518</v>
      </c>
      <c r="I176" s="121" t="s">
        <v>1424</v>
      </c>
      <c r="J176" s="121" t="s">
        <v>568</v>
      </c>
      <c r="K176" s="129">
        <v>2018</v>
      </c>
      <c r="L176" s="121" t="s">
        <v>7499</v>
      </c>
      <c r="M176" s="130" t="s">
        <v>7680</v>
      </c>
    </row>
    <row r="177" spans="1:13" ht="16.2">
      <c r="A177" s="121">
        <v>271</v>
      </c>
      <c r="B177" s="121" t="s">
        <v>5071</v>
      </c>
      <c r="C177" s="121" t="s">
        <v>7675</v>
      </c>
      <c r="D177" s="121">
        <v>9781522529316</v>
      </c>
      <c r="E177" s="121">
        <v>9781522529309</v>
      </c>
      <c r="F177" s="121" t="s">
        <v>7219</v>
      </c>
      <c r="G177" s="121">
        <v>1</v>
      </c>
      <c r="H177" s="121" t="s">
        <v>6518</v>
      </c>
      <c r="I177" s="121" t="s">
        <v>7220</v>
      </c>
      <c r="J177" s="121" t="s">
        <v>568</v>
      </c>
      <c r="K177" s="129">
        <v>2018</v>
      </c>
      <c r="L177" s="121" t="s">
        <v>7499</v>
      </c>
      <c r="M177" s="130" t="s">
        <v>7681</v>
      </c>
    </row>
    <row r="178" spans="1:13" ht="16.2">
      <c r="A178" s="121">
        <v>272</v>
      </c>
      <c r="B178" s="121" t="s">
        <v>5071</v>
      </c>
      <c r="C178" s="121" t="s">
        <v>7675</v>
      </c>
      <c r="D178" s="121">
        <v>9781522527510</v>
      </c>
      <c r="E178" s="121">
        <v>9781522527503</v>
      </c>
      <c r="F178" s="121" t="s">
        <v>7221</v>
      </c>
      <c r="G178" s="121">
        <v>1</v>
      </c>
      <c r="H178" s="121" t="s">
        <v>6518</v>
      </c>
      <c r="I178" s="121" t="s">
        <v>7222</v>
      </c>
      <c r="J178" s="121" t="s">
        <v>568</v>
      </c>
      <c r="K178" s="129">
        <v>2018</v>
      </c>
      <c r="L178" s="121" t="s">
        <v>7499</v>
      </c>
      <c r="M178" s="130" t="s">
        <v>7682</v>
      </c>
    </row>
    <row r="179" spans="1:13" ht="16.2">
      <c r="A179" s="121">
        <v>273</v>
      </c>
      <c r="B179" s="121" t="s">
        <v>5071</v>
      </c>
      <c r="C179" s="121" t="s">
        <v>7675</v>
      </c>
      <c r="D179" s="121">
        <v>9781522505808</v>
      </c>
      <c r="E179" s="121">
        <v>9781522505792</v>
      </c>
      <c r="F179" s="121" t="s">
        <v>7223</v>
      </c>
      <c r="G179" s="121">
        <v>1</v>
      </c>
      <c r="H179" s="121" t="s">
        <v>6518</v>
      </c>
      <c r="I179" s="121" t="s">
        <v>7224</v>
      </c>
      <c r="J179" s="121" t="s">
        <v>568</v>
      </c>
      <c r="K179" s="129">
        <v>2017</v>
      </c>
      <c r="L179" s="121" t="s">
        <v>7499</v>
      </c>
      <c r="M179" s="130" t="s">
        <v>7683</v>
      </c>
    </row>
    <row r="180" spans="1:13" ht="16.2">
      <c r="A180" s="121">
        <v>274</v>
      </c>
      <c r="B180" s="121" t="s">
        <v>5071</v>
      </c>
      <c r="C180" s="121" t="s">
        <v>7675</v>
      </c>
      <c r="D180" s="121">
        <v>9781522505778</v>
      </c>
      <c r="E180" s="121">
        <v>9781522505761</v>
      </c>
      <c r="F180" s="121" t="s">
        <v>7225</v>
      </c>
      <c r="G180" s="121">
        <v>1</v>
      </c>
      <c r="H180" s="121" t="s">
        <v>6518</v>
      </c>
      <c r="I180" s="121" t="s">
        <v>7224</v>
      </c>
      <c r="J180" s="121" t="s">
        <v>568</v>
      </c>
      <c r="K180" s="129">
        <v>2017</v>
      </c>
      <c r="L180" s="121" t="s">
        <v>7499</v>
      </c>
      <c r="M180" s="130" t="s">
        <v>7684</v>
      </c>
    </row>
    <row r="181" spans="1:13" ht="16.2">
      <c r="A181" s="121">
        <v>275</v>
      </c>
      <c r="B181" s="121" t="s">
        <v>5071</v>
      </c>
      <c r="C181" s="121" t="s">
        <v>7494</v>
      </c>
      <c r="D181" s="121">
        <v>9781522554288</v>
      </c>
      <c r="E181" s="121">
        <v>9781522554271</v>
      </c>
      <c r="F181" s="121" t="s">
        <v>7226</v>
      </c>
      <c r="G181" s="121">
        <v>1</v>
      </c>
      <c r="H181" s="121" t="s">
        <v>6518</v>
      </c>
      <c r="I181" s="121" t="s">
        <v>562</v>
      </c>
      <c r="J181" s="121" t="s">
        <v>569</v>
      </c>
      <c r="K181" s="129">
        <v>2019</v>
      </c>
      <c r="L181" s="121" t="s">
        <v>7499</v>
      </c>
      <c r="M181" s="130" t="s">
        <v>7685</v>
      </c>
    </row>
    <row r="182" spans="1:13" ht="16.2">
      <c r="A182" s="121">
        <v>276</v>
      </c>
      <c r="B182" s="121" t="s">
        <v>5071</v>
      </c>
      <c r="C182" s="121" t="s">
        <v>7494</v>
      </c>
      <c r="D182" s="121">
        <v>9781522556565</v>
      </c>
      <c r="E182" s="121">
        <v>9781522556558</v>
      </c>
      <c r="F182" s="121" t="s">
        <v>7227</v>
      </c>
      <c r="G182" s="121">
        <v>1</v>
      </c>
      <c r="H182" s="121" t="s">
        <v>6518</v>
      </c>
      <c r="I182" s="121" t="s">
        <v>7228</v>
      </c>
      <c r="J182" s="121" t="s">
        <v>569</v>
      </c>
      <c r="K182" s="129">
        <v>2018</v>
      </c>
      <c r="L182" s="121" t="s">
        <v>7499</v>
      </c>
      <c r="M182" s="130" t="s">
        <v>7686</v>
      </c>
    </row>
    <row r="183" spans="1:13" ht="16.2">
      <c r="A183" s="121">
        <v>277</v>
      </c>
      <c r="B183" s="121" t="s">
        <v>5071</v>
      </c>
      <c r="C183" s="121" t="s">
        <v>7494</v>
      </c>
      <c r="D183" s="121">
        <v>9781522541929</v>
      </c>
      <c r="E183" s="121">
        <v>9781522541912</v>
      </c>
      <c r="F183" s="121" t="s">
        <v>7229</v>
      </c>
      <c r="G183" s="121">
        <v>1</v>
      </c>
      <c r="H183" s="121" t="s">
        <v>6518</v>
      </c>
      <c r="I183" s="121" t="s">
        <v>7230</v>
      </c>
      <c r="J183" s="121" t="s">
        <v>569</v>
      </c>
      <c r="K183" s="129">
        <v>2018</v>
      </c>
      <c r="L183" s="121" t="s">
        <v>7499</v>
      </c>
      <c r="M183" s="130" t="s">
        <v>7687</v>
      </c>
    </row>
    <row r="184" spans="1:13" ht="16.2">
      <c r="A184" s="121">
        <v>278</v>
      </c>
      <c r="B184" s="121" t="s">
        <v>5071</v>
      </c>
      <c r="C184" s="121" t="s">
        <v>7494</v>
      </c>
      <c r="D184" s="121">
        <v>9781522551478</v>
      </c>
      <c r="E184" s="121">
        <v>9781522551461</v>
      </c>
      <c r="F184" s="121" t="s">
        <v>7231</v>
      </c>
      <c r="G184" s="121">
        <v>1</v>
      </c>
      <c r="H184" s="121" t="s">
        <v>6518</v>
      </c>
      <c r="I184" s="121" t="s">
        <v>7232</v>
      </c>
      <c r="J184" s="121" t="s">
        <v>569</v>
      </c>
      <c r="K184" s="129">
        <v>2018</v>
      </c>
      <c r="L184" s="121" t="s">
        <v>7499</v>
      </c>
      <c r="M184" s="130" t="s">
        <v>7688</v>
      </c>
    </row>
    <row r="185" spans="1:13" ht="16.2">
      <c r="A185" s="121">
        <v>279</v>
      </c>
      <c r="B185" s="121" t="s">
        <v>5071</v>
      </c>
      <c r="C185" s="121" t="s">
        <v>7494</v>
      </c>
      <c r="D185" s="121">
        <v>9781522528036</v>
      </c>
      <c r="E185" s="121">
        <v>9781522528029</v>
      </c>
      <c r="F185" s="121" t="s">
        <v>7233</v>
      </c>
      <c r="G185" s="121">
        <v>1</v>
      </c>
      <c r="H185" s="121" t="s">
        <v>6518</v>
      </c>
      <c r="I185" s="121" t="s">
        <v>7234</v>
      </c>
      <c r="J185" s="121" t="s">
        <v>569</v>
      </c>
      <c r="K185" s="129">
        <v>2018</v>
      </c>
      <c r="L185" s="121" t="s">
        <v>7499</v>
      </c>
      <c r="M185" s="130" t="s">
        <v>7689</v>
      </c>
    </row>
    <row r="186" spans="1:13" ht="16.2">
      <c r="A186" s="121">
        <v>280</v>
      </c>
      <c r="B186" s="121" t="s">
        <v>5071</v>
      </c>
      <c r="C186" s="121" t="s">
        <v>7494</v>
      </c>
      <c r="D186" s="121">
        <v>9781522551652</v>
      </c>
      <c r="E186" s="121">
        <v>9781522551645</v>
      </c>
      <c r="F186" s="121" t="s">
        <v>7235</v>
      </c>
      <c r="G186" s="121">
        <v>1</v>
      </c>
      <c r="H186" s="121" t="s">
        <v>6518</v>
      </c>
      <c r="I186" s="121" t="s">
        <v>555</v>
      </c>
      <c r="J186" s="121" t="s">
        <v>569</v>
      </c>
      <c r="K186" s="129">
        <v>2018</v>
      </c>
      <c r="L186" s="121" t="s">
        <v>7499</v>
      </c>
      <c r="M186" s="130" t="s">
        <v>7690</v>
      </c>
    </row>
    <row r="187" spans="1:13" ht="16.2">
      <c r="A187" s="121">
        <v>281</v>
      </c>
      <c r="B187" s="121" t="s">
        <v>5071</v>
      </c>
      <c r="C187" s="121" t="s">
        <v>7494</v>
      </c>
      <c r="D187" s="121">
        <v>9781522526773</v>
      </c>
      <c r="E187" s="121">
        <v>9781522526766</v>
      </c>
      <c r="F187" s="121" t="s">
        <v>7236</v>
      </c>
      <c r="G187" s="121">
        <v>1</v>
      </c>
      <c r="H187" s="121" t="s">
        <v>6518</v>
      </c>
      <c r="I187" s="121" t="s">
        <v>7237</v>
      </c>
      <c r="J187" s="121" t="s">
        <v>569</v>
      </c>
      <c r="K187" s="129">
        <v>2018</v>
      </c>
      <c r="L187" s="121" t="s">
        <v>7499</v>
      </c>
      <c r="M187" s="130" t="s">
        <v>7691</v>
      </c>
    </row>
    <row r="188" spans="1:13" ht="16.2">
      <c r="A188" s="121">
        <v>282</v>
      </c>
      <c r="B188" s="121" t="s">
        <v>5071</v>
      </c>
      <c r="C188" s="121" t="s">
        <v>7494</v>
      </c>
      <c r="D188" s="121">
        <v>9781522526926</v>
      </c>
      <c r="E188" s="121">
        <v>9781522526919</v>
      </c>
      <c r="F188" s="121" t="s">
        <v>7238</v>
      </c>
      <c r="G188" s="121">
        <v>1</v>
      </c>
      <c r="H188" s="121" t="s">
        <v>6518</v>
      </c>
      <c r="I188" s="121" t="s">
        <v>7239</v>
      </c>
      <c r="J188" s="121" t="s">
        <v>569</v>
      </c>
      <c r="K188" s="129">
        <v>2018</v>
      </c>
      <c r="L188" s="121" t="s">
        <v>7499</v>
      </c>
      <c r="M188" s="130" t="s">
        <v>7692</v>
      </c>
    </row>
    <row r="189" spans="1:13" ht="16.2">
      <c r="A189" s="121">
        <v>283</v>
      </c>
      <c r="B189" s="121" t="s">
        <v>5071</v>
      </c>
      <c r="C189" s="121" t="s">
        <v>7494</v>
      </c>
      <c r="D189" s="121">
        <v>9781522530169</v>
      </c>
      <c r="E189" s="121">
        <v>9781522530152</v>
      </c>
      <c r="F189" s="121" t="s">
        <v>7240</v>
      </c>
      <c r="G189" s="121">
        <v>1</v>
      </c>
      <c r="H189" s="121" t="s">
        <v>6518</v>
      </c>
      <c r="I189" s="121" t="s">
        <v>7241</v>
      </c>
      <c r="J189" s="121" t="s">
        <v>569</v>
      </c>
      <c r="K189" s="129">
        <v>2018</v>
      </c>
      <c r="L189" s="121" t="s">
        <v>7499</v>
      </c>
      <c r="M189" s="130" t="s">
        <v>7693</v>
      </c>
    </row>
    <row r="190" spans="1:13" ht="16.2">
      <c r="A190" s="121">
        <v>284</v>
      </c>
      <c r="B190" s="121" t="s">
        <v>5071</v>
      </c>
      <c r="C190" s="121" t="s">
        <v>7494</v>
      </c>
      <c r="D190" s="121">
        <v>9781522528067</v>
      </c>
      <c r="E190" s="121">
        <v>9781522528050</v>
      </c>
      <c r="F190" s="121" t="s">
        <v>7242</v>
      </c>
      <c r="G190" s="121">
        <v>1</v>
      </c>
      <c r="H190" s="121" t="s">
        <v>6518</v>
      </c>
      <c r="I190" s="121" t="s">
        <v>7243</v>
      </c>
      <c r="J190" s="121" t="s">
        <v>569</v>
      </c>
      <c r="K190" s="129">
        <v>2018</v>
      </c>
      <c r="L190" s="121" t="s">
        <v>7499</v>
      </c>
      <c r="M190" s="130" t="s">
        <v>7694</v>
      </c>
    </row>
    <row r="191" spans="1:13" ht="16.2">
      <c r="A191" s="121">
        <v>285</v>
      </c>
      <c r="B191" s="121" t="s">
        <v>5071</v>
      </c>
      <c r="C191" s="121" t="s">
        <v>7494</v>
      </c>
      <c r="D191" s="121">
        <v>9781522525950</v>
      </c>
      <c r="E191" s="121">
        <v>9781522525943</v>
      </c>
      <c r="F191" s="121" t="s">
        <v>7244</v>
      </c>
      <c r="G191" s="121">
        <v>1</v>
      </c>
      <c r="H191" s="121" t="s">
        <v>6518</v>
      </c>
      <c r="I191" s="121" t="s">
        <v>1424</v>
      </c>
      <c r="J191" s="121" t="s">
        <v>569</v>
      </c>
      <c r="K191" s="129">
        <v>2018</v>
      </c>
      <c r="L191" s="121" t="s">
        <v>7499</v>
      </c>
      <c r="M191" s="130" t="s">
        <v>7695</v>
      </c>
    </row>
    <row r="192" spans="1:13" ht="16.2">
      <c r="A192" s="121">
        <v>286</v>
      </c>
      <c r="B192" s="121" t="s">
        <v>5071</v>
      </c>
      <c r="C192" s="121" t="s">
        <v>7494</v>
      </c>
      <c r="D192" s="121">
        <v>9781522533078</v>
      </c>
      <c r="E192" s="121">
        <v>9781522525127</v>
      </c>
      <c r="F192" s="121" t="s">
        <v>7245</v>
      </c>
      <c r="G192" s="121">
        <v>1</v>
      </c>
      <c r="H192" s="121" t="s">
        <v>6518</v>
      </c>
      <c r="I192" s="121" t="s">
        <v>7246</v>
      </c>
      <c r="J192" s="121" t="s">
        <v>569</v>
      </c>
      <c r="K192" s="129">
        <v>2017</v>
      </c>
      <c r="L192" s="121" t="s">
        <v>7499</v>
      </c>
      <c r="M192" s="130" t="s">
        <v>7696</v>
      </c>
    </row>
    <row r="193" spans="1:13" ht="16.2">
      <c r="A193" s="121">
        <v>287</v>
      </c>
      <c r="B193" s="121" t="s">
        <v>5071</v>
      </c>
      <c r="C193" s="121" t="s">
        <v>7494</v>
      </c>
      <c r="D193" s="121">
        <v>9781522517368</v>
      </c>
      <c r="E193" s="121">
        <v>9781522517351</v>
      </c>
      <c r="F193" s="121" t="s">
        <v>7247</v>
      </c>
      <c r="G193" s="121">
        <v>1</v>
      </c>
      <c r="H193" s="121" t="s">
        <v>6518</v>
      </c>
      <c r="I193" s="121" t="s">
        <v>3487</v>
      </c>
      <c r="J193" s="121" t="s">
        <v>569</v>
      </c>
      <c r="K193" s="129">
        <v>2017</v>
      </c>
      <c r="L193" s="121" t="s">
        <v>7499</v>
      </c>
      <c r="M193" s="130" t="s">
        <v>7697</v>
      </c>
    </row>
    <row r="194" spans="1:13" ht="16.2">
      <c r="A194" s="121">
        <v>288</v>
      </c>
      <c r="B194" s="121" t="s">
        <v>5071</v>
      </c>
      <c r="C194" s="121" t="s">
        <v>7494</v>
      </c>
      <c r="D194" s="121">
        <v>9781466698413</v>
      </c>
      <c r="E194" s="121">
        <v>9781466698406</v>
      </c>
      <c r="F194" s="121" t="s">
        <v>7248</v>
      </c>
      <c r="G194" s="121">
        <v>4</v>
      </c>
      <c r="H194" s="121" t="s">
        <v>6518</v>
      </c>
      <c r="I194" s="121" t="s">
        <v>1424</v>
      </c>
      <c r="J194" s="121" t="s">
        <v>569</v>
      </c>
      <c r="K194" s="129">
        <v>2016</v>
      </c>
      <c r="L194" s="121" t="s">
        <v>7499</v>
      </c>
      <c r="M194" s="130" t="s">
        <v>7698</v>
      </c>
    </row>
    <row r="195" spans="1:13" ht="16.2">
      <c r="A195" s="121">
        <v>289</v>
      </c>
      <c r="B195" s="121" t="s">
        <v>5413</v>
      </c>
      <c r="C195" s="121" t="s">
        <v>7455</v>
      </c>
      <c r="D195" s="121">
        <v>9781522540755</v>
      </c>
      <c r="E195" s="121">
        <v>9781522540748</v>
      </c>
      <c r="F195" s="121" t="s">
        <v>7249</v>
      </c>
      <c r="G195" s="121">
        <v>1</v>
      </c>
      <c r="H195" s="121" t="s">
        <v>6518</v>
      </c>
      <c r="I195" s="121" t="s">
        <v>7250</v>
      </c>
      <c r="J195" s="121" t="s">
        <v>561</v>
      </c>
      <c r="K195" s="129">
        <v>2018</v>
      </c>
      <c r="L195" s="121" t="s">
        <v>7499</v>
      </c>
      <c r="M195" s="130" t="s">
        <v>7699</v>
      </c>
    </row>
    <row r="196" spans="1:13" ht="16.2">
      <c r="A196" s="121">
        <v>290</v>
      </c>
      <c r="B196" s="121" t="s">
        <v>5413</v>
      </c>
      <c r="C196" s="121" t="s">
        <v>7455</v>
      </c>
      <c r="D196" s="121">
        <v>9781522552383</v>
      </c>
      <c r="E196" s="121">
        <v>9781522552376</v>
      </c>
      <c r="F196" s="121" t="s">
        <v>7251</v>
      </c>
      <c r="G196" s="121">
        <v>1</v>
      </c>
      <c r="H196" s="121" t="s">
        <v>6518</v>
      </c>
      <c r="I196" s="121" t="s">
        <v>7252</v>
      </c>
      <c r="J196" s="121" t="s">
        <v>561</v>
      </c>
      <c r="K196" s="129">
        <v>2018</v>
      </c>
      <c r="L196" s="121" t="s">
        <v>7499</v>
      </c>
      <c r="M196" s="130" t="s">
        <v>7700</v>
      </c>
    </row>
    <row r="197" spans="1:13" ht="16.2">
      <c r="A197" s="121">
        <v>291</v>
      </c>
      <c r="B197" s="121" t="s">
        <v>5413</v>
      </c>
      <c r="C197" s="121" t="s">
        <v>7455</v>
      </c>
      <c r="D197" s="121">
        <v>9781522532040</v>
      </c>
      <c r="E197" s="121">
        <v>9781522532033</v>
      </c>
      <c r="F197" s="121" t="s">
        <v>7253</v>
      </c>
      <c r="G197" s="121">
        <v>1</v>
      </c>
      <c r="H197" s="121" t="s">
        <v>6518</v>
      </c>
      <c r="I197" s="121" t="s">
        <v>7254</v>
      </c>
      <c r="J197" s="121" t="s">
        <v>561</v>
      </c>
      <c r="K197" s="129">
        <v>2018</v>
      </c>
      <c r="L197" s="121" t="s">
        <v>7499</v>
      </c>
      <c r="M197" s="130" t="s">
        <v>7701</v>
      </c>
    </row>
    <row r="198" spans="1:13" ht="16.2">
      <c r="A198" s="121">
        <v>292</v>
      </c>
      <c r="B198" s="121" t="s">
        <v>5413</v>
      </c>
      <c r="C198" s="121" t="s">
        <v>7455</v>
      </c>
      <c r="D198" s="121">
        <v>9781522555292</v>
      </c>
      <c r="E198" s="121">
        <v>9781522555285</v>
      </c>
      <c r="F198" s="121" t="s">
        <v>7255</v>
      </c>
      <c r="G198" s="121">
        <v>1</v>
      </c>
      <c r="H198" s="121" t="s">
        <v>6518</v>
      </c>
      <c r="I198" s="121" t="s">
        <v>7256</v>
      </c>
      <c r="J198" s="121" t="s">
        <v>561</v>
      </c>
      <c r="K198" s="129">
        <v>2018</v>
      </c>
      <c r="L198" s="121" t="s">
        <v>7499</v>
      </c>
      <c r="M198" s="130" t="s">
        <v>7702</v>
      </c>
    </row>
    <row r="199" spans="1:13" ht="16.2">
      <c r="A199" s="121">
        <v>293</v>
      </c>
      <c r="B199" s="121" t="s">
        <v>5413</v>
      </c>
      <c r="C199" s="121" t="s">
        <v>7455</v>
      </c>
      <c r="D199" s="121">
        <v>9781522537175</v>
      </c>
      <c r="E199" s="121">
        <v>9781522537168</v>
      </c>
      <c r="F199" s="121" t="s">
        <v>7257</v>
      </c>
      <c r="G199" s="121">
        <v>1</v>
      </c>
      <c r="H199" s="121" t="s">
        <v>6518</v>
      </c>
      <c r="I199" s="121" t="s">
        <v>7258</v>
      </c>
      <c r="J199" s="121" t="s">
        <v>561</v>
      </c>
      <c r="K199" s="129">
        <v>2018</v>
      </c>
      <c r="L199" s="121" t="s">
        <v>7499</v>
      </c>
      <c r="M199" s="130" t="s">
        <v>7703</v>
      </c>
    </row>
    <row r="200" spans="1:13" ht="16.2">
      <c r="A200" s="121">
        <v>294</v>
      </c>
      <c r="B200" s="121" t="s">
        <v>5413</v>
      </c>
      <c r="C200" s="121" t="s">
        <v>7455</v>
      </c>
      <c r="D200" s="121">
        <v>9781522539476</v>
      </c>
      <c r="E200" s="121">
        <v>9781522539469</v>
      </c>
      <c r="F200" s="121" t="s">
        <v>7259</v>
      </c>
      <c r="G200" s="121">
        <v>1</v>
      </c>
      <c r="H200" s="121" t="s">
        <v>6518</v>
      </c>
      <c r="I200" s="121" t="s">
        <v>7260</v>
      </c>
      <c r="J200" s="121" t="s">
        <v>561</v>
      </c>
      <c r="K200" s="129">
        <v>2018</v>
      </c>
      <c r="L200" s="121" t="s">
        <v>7499</v>
      </c>
      <c r="M200" s="130" t="s">
        <v>7704</v>
      </c>
    </row>
    <row r="201" spans="1:13" ht="16.2">
      <c r="A201" s="121">
        <v>295</v>
      </c>
      <c r="B201" s="121" t="s">
        <v>5413</v>
      </c>
      <c r="C201" s="121" t="s">
        <v>7455</v>
      </c>
      <c r="D201" s="121">
        <v>9781522552086</v>
      </c>
      <c r="E201" s="121">
        <v>9781522552079</v>
      </c>
      <c r="F201" s="121" t="s">
        <v>7261</v>
      </c>
      <c r="G201" s="121">
        <v>1</v>
      </c>
      <c r="H201" s="121" t="s">
        <v>6518</v>
      </c>
      <c r="I201" s="121" t="s">
        <v>1424</v>
      </c>
      <c r="J201" s="121" t="s">
        <v>561</v>
      </c>
      <c r="K201" s="129">
        <v>2018</v>
      </c>
      <c r="L201" s="121" t="s">
        <v>7499</v>
      </c>
      <c r="M201" s="130" t="s">
        <v>7705</v>
      </c>
    </row>
    <row r="202" spans="1:13" ht="16.2">
      <c r="A202" s="121">
        <v>296</v>
      </c>
      <c r="B202" s="121" t="s">
        <v>5413</v>
      </c>
      <c r="C202" s="121" t="s">
        <v>7455</v>
      </c>
      <c r="D202" s="121">
        <v>9781522552239</v>
      </c>
      <c r="E202" s="121">
        <v>9781522552222</v>
      </c>
      <c r="F202" s="121" t="s">
        <v>7262</v>
      </c>
      <c r="G202" s="121">
        <v>1</v>
      </c>
      <c r="H202" s="121" t="s">
        <v>6518</v>
      </c>
      <c r="I202" s="121" t="s">
        <v>7263</v>
      </c>
      <c r="J202" s="121" t="s">
        <v>561</v>
      </c>
      <c r="K202" s="129">
        <v>2018</v>
      </c>
      <c r="L202" s="121" t="s">
        <v>7499</v>
      </c>
      <c r="M202" s="130" t="s">
        <v>7706</v>
      </c>
    </row>
    <row r="203" spans="1:13" ht="16.2">
      <c r="A203" s="121">
        <v>297</v>
      </c>
      <c r="B203" s="121" t="s">
        <v>5413</v>
      </c>
      <c r="C203" s="121" t="s">
        <v>7455</v>
      </c>
      <c r="D203" s="121">
        <v>9781522529712</v>
      </c>
      <c r="E203" s="121">
        <v>9781522529705</v>
      </c>
      <c r="F203" s="121" t="s">
        <v>7264</v>
      </c>
      <c r="G203" s="121">
        <v>1</v>
      </c>
      <c r="H203" s="121" t="s">
        <v>6518</v>
      </c>
      <c r="I203" s="121" t="s">
        <v>7265</v>
      </c>
      <c r="J203" s="121" t="s">
        <v>561</v>
      </c>
      <c r="K203" s="129">
        <v>2018</v>
      </c>
      <c r="L203" s="121" t="s">
        <v>7499</v>
      </c>
      <c r="M203" s="130" t="s">
        <v>7707</v>
      </c>
    </row>
    <row r="204" spans="1:13" ht="16.2">
      <c r="A204" s="121">
        <v>298</v>
      </c>
      <c r="B204" s="121" t="s">
        <v>5413</v>
      </c>
      <c r="C204" s="121" t="s">
        <v>7455</v>
      </c>
      <c r="D204" s="121">
        <v>9781522527893</v>
      </c>
      <c r="E204" s="121">
        <v>9781522527886</v>
      </c>
      <c r="F204" s="121" t="s">
        <v>7266</v>
      </c>
      <c r="G204" s="121">
        <v>1</v>
      </c>
      <c r="H204" s="121" t="s">
        <v>6518</v>
      </c>
      <c r="I204" s="121" t="s">
        <v>7267</v>
      </c>
      <c r="J204" s="121" t="s">
        <v>561</v>
      </c>
      <c r="K204" s="129">
        <v>2018</v>
      </c>
      <c r="L204" s="121" t="s">
        <v>7499</v>
      </c>
      <c r="M204" s="130" t="s">
        <v>7708</v>
      </c>
    </row>
    <row r="205" spans="1:13" ht="16.2">
      <c r="A205" s="121">
        <v>299</v>
      </c>
      <c r="B205" s="121" t="s">
        <v>5413</v>
      </c>
      <c r="C205" s="121" t="s">
        <v>7455</v>
      </c>
      <c r="D205" s="121">
        <v>9781522526346</v>
      </c>
      <c r="E205" s="121">
        <v>9781522526339</v>
      </c>
      <c r="F205" s="121" t="s">
        <v>7268</v>
      </c>
      <c r="G205" s="121">
        <v>1</v>
      </c>
      <c r="H205" s="121" t="s">
        <v>6518</v>
      </c>
      <c r="I205" s="121" t="s">
        <v>7269</v>
      </c>
      <c r="J205" s="121" t="s">
        <v>561</v>
      </c>
      <c r="K205" s="129">
        <v>2018</v>
      </c>
      <c r="L205" s="121" t="s">
        <v>7499</v>
      </c>
      <c r="M205" s="130" t="s">
        <v>7709</v>
      </c>
    </row>
    <row r="206" spans="1:13" ht="16.2">
      <c r="A206" s="121">
        <v>300</v>
      </c>
      <c r="B206" s="121" t="s">
        <v>5413</v>
      </c>
      <c r="C206" s="121" t="s">
        <v>7455</v>
      </c>
      <c r="D206" s="121">
        <v>9781522518211</v>
      </c>
      <c r="E206" s="121">
        <v>9781522518204</v>
      </c>
      <c r="F206" s="121" t="s">
        <v>7270</v>
      </c>
      <c r="G206" s="121">
        <v>1</v>
      </c>
      <c r="H206" s="121" t="s">
        <v>6518</v>
      </c>
      <c r="I206" s="121" t="s">
        <v>7271</v>
      </c>
      <c r="J206" s="121" t="s">
        <v>561</v>
      </c>
      <c r="K206" s="129">
        <v>2017</v>
      </c>
      <c r="L206" s="121" t="s">
        <v>7499</v>
      </c>
      <c r="M206" s="130" t="s">
        <v>7710</v>
      </c>
    </row>
    <row r="207" spans="1:13" ht="16.2">
      <c r="A207" s="121">
        <v>301</v>
      </c>
      <c r="B207" s="121" t="s">
        <v>5413</v>
      </c>
      <c r="C207" s="121" t="s">
        <v>7457</v>
      </c>
      <c r="D207" s="121">
        <v>9781522555810</v>
      </c>
      <c r="E207" s="121">
        <v>9781522555803</v>
      </c>
      <c r="F207" s="121" t="s">
        <v>7272</v>
      </c>
      <c r="G207" s="121">
        <v>1</v>
      </c>
      <c r="H207" s="121" t="s">
        <v>6518</v>
      </c>
      <c r="I207" s="121" t="s">
        <v>7273</v>
      </c>
      <c r="J207" s="121" t="s">
        <v>561</v>
      </c>
      <c r="K207" s="129">
        <v>2018</v>
      </c>
      <c r="L207" s="121" t="s">
        <v>7499</v>
      </c>
      <c r="M207" s="130" t="s">
        <v>7711</v>
      </c>
    </row>
    <row r="208" spans="1:13" ht="16.2">
      <c r="A208" s="121">
        <v>302</v>
      </c>
      <c r="B208" s="121" t="s">
        <v>5413</v>
      </c>
      <c r="C208" s="121" t="s">
        <v>7457</v>
      </c>
      <c r="D208" s="121">
        <v>9781522547709</v>
      </c>
      <c r="E208" s="121">
        <v>9781522547693</v>
      </c>
      <c r="F208" s="121" t="s">
        <v>7274</v>
      </c>
      <c r="G208" s="121">
        <v>1</v>
      </c>
      <c r="H208" s="121" t="s">
        <v>6518</v>
      </c>
      <c r="I208" s="121" t="s">
        <v>5166</v>
      </c>
      <c r="J208" s="121" t="s">
        <v>561</v>
      </c>
      <c r="K208" s="129">
        <v>2018</v>
      </c>
      <c r="L208" s="121" t="s">
        <v>7499</v>
      </c>
      <c r="M208" s="130" t="s">
        <v>7712</v>
      </c>
    </row>
    <row r="209" spans="1:13" ht="16.2">
      <c r="A209" s="121">
        <v>303</v>
      </c>
      <c r="B209" s="121" t="s">
        <v>5413</v>
      </c>
      <c r="C209" s="121" t="s">
        <v>7457</v>
      </c>
      <c r="D209" s="121">
        <v>9781522529590</v>
      </c>
      <c r="E209" s="121">
        <v>9781522529583</v>
      </c>
      <c r="F209" s="121" t="s">
        <v>7275</v>
      </c>
      <c r="G209" s="121">
        <v>1</v>
      </c>
      <c r="H209" s="121" t="s">
        <v>6518</v>
      </c>
      <c r="I209" s="121" t="s">
        <v>5048</v>
      </c>
      <c r="J209" s="121" t="s">
        <v>561</v>
      </c>
      <c r="K209" s="129">
        <v>2018</v>
      </c>
      <c r="L209" s="121" t="s">
        <v>7499</v>
      </c>
      <c r="M209" s="130" t="s">
        <v>7713</v>
      </c>
    </row>
    <row r="210" spans="1:13" ht="16.2">
      <c r="A210" s="121">
        <v>304</v>
      </c>
      <c r="B210" s="121" t="s">
        <v>5413</v>
      </c>
      <c r="C210" s="121" t="s">
        <v>7457</v>
      </c>
      <c r="D210" s="121">
        <v>9781522528302</v>
      </c>
      <c r="E210" s="121">
        <v>9781522528296</v>
      </c>
      <c r="F210" s="121" t="s">
        <v>7276</v>
      </c>
      <c r="G210" s="121">
        <v>1</v>
      </c>
      <c r="H210" s="121" t="s">
        <v>6518</v>
      </c>
      <c r="I210" s="121" t="s">
        <v>7277</v>
      </c>
      <c r="J210" s="121" t="s">
        <v>561</v>
      </c>
      <c r="K210" s="129">
        <v>2018</v>
      </c>
      <c r="L210" s="121" t="s">
        <v>7499</v>
      </c>
      <c r="M210" s="130" t="s">
        <v>7714</v>
      </c>
    </row>
    <row r="211" spans="1:13" ht="16.2">
      <c r="A211" s="121">
        <v>305</v>
      </c>
      <c r="B211" s="121" t="s">
        <v>5413</v>
      </c>
      <c r="C211" s="121" t="s">
        <v>7457</v>
      </c>
      <c r="D211" s="121">
        <v>9781522528524</v>
      </c>
      <c r="E211" s="121">
        <v>9781522528517</v>
      </c>
      <c r="F211" s="121" t="s">
        <v>7278</v>
      </c>
      <c r="G211" s="121">
        <v>1</v>
      </c>
      <c r="H211" s="121" t="s">
        <v>6518</v>
      </c>
      <c r="I211" s="121" t="s">
        <v>7279</v>
      </c>
      <c r="J211" s="121" t="s">
        <v>561</v>
      </c>
      <c r="K211" s="129">
        <v>2018</v>
      </c>
      <c r="L211" s="121" t="s">
        <v>7499</v>
      </c>
      <c r="M211" s="130" t="s">
        <v>7715</v>
      </c>
    </row>
    <row r="212" spans="1:13" ht="16.2">
      <c r="A212" s="121">
        <v>306</v>
      </c>
      <c r="B212" s="121" t="s">
        <v>5413</v>
      </c>
      <c r="C212" s="121" t="s">
        <v>7457</v>
      </c>
      <c r="D212" s="121">
        <v>9781522526087</v>
      </c>
      <c r="E212" s="121">
        <v>9781522526070</v>
      </c>
      <c r="F212" s="121" t="s">
        <v>7280</v>
      </c>
      <c r="G212" s="121">
        <v>1</v>
      </c>
      <c r="H212" s="121" t="s">
        <v>6518</v>
      </c>
      <c r="I212" s="121" t="s">
        <v>7230</v>
      </c>
      <c r="J212" s="121" t="s">
        <v>561</v>
      </c>
      <c r="K212" s="129">
        <v>2018</v>
      </c>
      <c r="L212" s="121" t="s">
        <v>7499</v>
      </c>
      <c r="M212" s="130" t="s">
        <v>7716</v>
      </c>
    </row>
    <row r="213" spans="1:13" ht="16.2">
      <c r="A213" s="121">
        <v>307</v>
      </c>
      <c r="B213" s="121" t="s">
        <v>5413</v>
      </c>
      <c r="C213" s="121" t="s">
        <v>7717</v>
      </c>
      <c r="D213" s="121">
        <v>9781522520931</v>
      </c>
      <c r="E213" s="121">
        <v>9781522520924</v>
      </c>
      <c r="F213" s="121" t="s">
        <v>7281</v>
      </c>
      <c r="G213" s="121">
        <v>1</v>
      </c>
      <c r="H213" s="121" t="s">
        <v>6518</v>
      </c>
      <c r="I213" s="121" t="s">
        <v>7282</v>
      </c>
      <c r="J213" s="121" t="s">
        <v>561</v>
      </c>
      <c r="K213" s="129">
        <v>2017</v>
      </c>
      <c r="L213" s="121" t="s">
        <v>7499</v>
      </c>
      <c r="M213" s="130" t="s">
        <v>7718</v>
      </c>
    </row>
    <row r="214" spans="1:13" ht="16.2">
      <c r="A214" s="121">
        <v>308</v>
      </c>
      <c r="B214" s="121" t="s">
        <v>5413</v>
      </c>
      <c r="C214" s="121" t="s">
        <v>7461</v>
      </c>
      <c r="D214" s="121">
        <v>9781522554790</v>
      </c>
      <c r="E214" s="121">
        <v>9781522554783</v>
      </c>
      <c r="F214" s="121" t="s">
        <v>7283</v>
      </c>
      <c r="G214" s="121">
        <v>1</v>
      </c>
      <c r="H214" s="121" t="s">
        <v>6518</v>
      </c>
      <c r="I214" s="121" t="s">
        <v>1424</v>
      </c>
      <c r="J214" s="121" t="s">
        <v>561</v>
      </c>
      <c r="K214" s="129">
        <v>2018</v>
      </c>
      <c r="L214" s="121" t="s">
        <v>7499</v>
      </c>
      <c r="M214" s="130" t="s">
        <v>7719</v>
      </c>
    </row>
    <row r="215" spans="1:13" ht="16.2">
      <c r="A215" s="121">
        <v>309</v>
      </c>
      <c r="B215" s="121" t="s">
        <v>5413</v>
      </c>
      <c r="C215" s="121" t="s">
        <v>7720</v>
      </c>
      <c r="D215" s="121">
        <v>9781522551966</v>
      </c>
      <c r="E215" s="121">
        <v>9781522551959</v>
      </c>
      <c r="F215" s="121" t="s">
        <v>7284</v>
      </c>
      <c r="G215" s="121">
        <v>1</v>
      </c>
      <c r="H215" s="121" t="s">
        <v>6518</v>
      </c>
      <c r="I215" s="121" t="s">
        <v>1424</v>
      </c>
      <c r="J215" s="121" t="s">
        <v>561</v>
      </c>
      <c r="K215" s="129">
        <v>2018</v>
      </c>
      <c r="L215" s="121" t="s">
        <v>7499</v>
      </c>
      <c r="M215" s="130" t="s">
        <v>7721</v>
      </c>
    </row>
    <row r="216" spans="1:13" ht="16.2">
      <c r="A216" s="121">
        <v>310</v>
      </c>
      <c r="B216" s="121" t="s">
        <v>5413</v>
      </c>
      <c r="C216" s="121" t="s">
        <v>7722</v>
      </c>
      <c r="D216" s="121">
        <v>9781522553649</v>
      </c>
      <c r="E216" s="121">
        <v>9781522553632</v>
      </c>
      <c r="F216" s="121" t="s">
        <v>7285</v>
      </c>
      <c r="G216" s="121">
        <v>1</v>
      </c>
      <c r="H216" s="121" t="s">
        <v>6518</v>
      </c>
      <c r="I216" s="121" t="s">
        <v>7286</v>
      </c>
      <c r="J216" s="121" t="s">
        <v>561</v>
      </c>
      <c r="K216" s="129">
        <v>2018</v>
      </c>
      <c r="L216" s="121" t="s">
        <v>7499</v>
      </c>
      <c r="M216" s="130" t="s">
        <v>7723</v>
      </c>
    </row>
    <row r="217" spans="1:13" ht="16.2">
      <c r="A217" s="121">
        <v>311</v>
      </c>
      <c r="B217" s="121" t="s">
        <v>5413</v>
      </c>
      <c r="C217" s="121" t="s">
        <v>7724</v>
      </c>
      <c r="D217" s="121">
        <v>9781522554912</v>
      </c>
      <c r="E217" s="121">
        <v>9781522554905</v>
      </c>
      <c r="F217" s="121" t="s">
        <v>7287</v>
      </c>
      <c r="G217" s="121">
        <v>1</v>
      </c>
      <c r="H217" s="121" t="s">
        <v>6518</v>
      </c>
      <c r="I217" s="121" t="s">
        <v>1424</v>
      </c>
      <c r="J217" s="121" t="s">
        <v>561</v>
      </c>
      <c r="K217" s="129">
        <v>2018</v>
      </c>
      <c r="L217" s="121" t="s">
        <v>7499</v>
      </c>
      <c r="M217" s="130" t="s">
        <v>7725</v>
      </c>
    </row>
    <row r="218" spans="1:13" ht="16.2">
      <c r="A218" s="121">
        <v>312</v>
      </c>
      <c r="B218" s="121" t="s">
        <v>571</v>
      </c>
      <c r="C218" s="121" t="s">
        <v>7464</v>
      </c>
      <c r="D218" s="121">
        <v>9781522550464</v>
      </c>
      <c r="E218" s="121">
        <v>9781522550457</v>
      </c>
      <c r="F218" s="121" t="s">
        <v>7288</v>
      </c>
      <c r="G218" s="121">
        <v>1</v>
      </c>
      <c r="H218" s="121" t="s">
        <v>6518</v>
      </c>
      <c r="I218" s="121" t="s">
        <v>7289</v>
      </c>
      <c r="J218" s="121" t="s">
        <v>1233</v>
      </c>
      <c r="K218" s="129">
        <v>2018</v>
      </c>
      <c r="L218" s="121" t="s">
        <v>7499</v>
      </c>
      <c r="M218" s="130" t="s">
        <v>7726</v>
      </c>
    </row>
    <row r="219" spans="1:13" ht="16.2">
      <c r="A219" s="121">
        <v>313</v>
      </c>
      <c r="B219" s="121" t="s">
        <v>571</v>
      </c>
      <c r="C219" s="121" t="s">
        <v>7464</v>
      </c>
      <c r="D219" s="121">
        <v>9781522534020</v>
      </c>
      <c r="E219" s="121">
        <v>9781522534013</v>
      </c>
      <c r="F219" s="121" t="s">
        <v>7290</v>
      </c>
      <c r="G219" s="121">
        <v>1</v>
      </c>
      <c r="H219" s="121" t="s">
        <v>6518</v>
      </c>
      <c r="I219" s="121" t="s">
        <v>7291</v>
      </c>
      <c r="J219" s="121" t="s">
        <v>1233</v>
      </c>
      <c r="K219" s="129">
        <v>2018</v>
      </c>
      <c r="L219" s="121" t="s">
        <v>7499</v>
      </c>
      <c r="M219" s="130" t="s">
        <v>7727</v>
      </c>
    </row>
    <row r="220" spans="1:13" ht="16.2">
      <c r="A220" s="121">
        <v>314</v>
      </c>
      <c r="B220" s="121" t="s">
        <v>571</v>
      </c>
      <c r="C220" s="121" t="s">
        <v>7464</v>
      </c>
      <c r="D220" s="121">
        <v>9781522552116</v>
      </c>
      <c r="E220" s="121">
        <v>9781522552109</v>
      </c>
      <c r="F220" s="121" t="s">
        <v>7292</v>
      </c>
      <c r="G220" s="121">
        <v>2</v>
      </c>
      <c r="H220" s="121" t="s">
        <v>6518</v>
      </c>
      <c r="I220" s="121" t="s">
        <v>1424</v>
      </c>
      <c r="J220" s="121" t="s">
        <v>1233</v>
      </c>
      <c r="K220" s="129">
        <v>2018</v>
      </c>
      <c r="L220" s="121" t="s">
        <v>7499</v>
      </c>
      <c r="M220" s="130" t="s">
        <v>7728</v>
      </c>
    </row>
    <row r="221" spans="1:13" ht="16.2">
      <c r="A221" s="121">
        <v>315</v>
      </c>
      <c r="B221" s="121" t="s">
        <v>571</v>
      </c>
      <c r="C221" s="121" t="s">
        <v>7464</v>
      </c>
      <c r="D221" s="121">
        <v>9781522552659</v>
      </c>
      <c r="E221" s="121">
        <v>9781522552642</v>
      </c>
      <c r="F221" s="121" t="s">
        <v>7293</v>
      </c>
      <c r="G221" s="121">
        <v>1</v>
      </c>
      <c r="H221" s="121" t="s">
        <v>6518</v>
      </c>
      <c r="I221" s="121" t="s">
        <v>7294</v>
      </c>
      <c r="J221" s="121" t="s">
        <v>1233</v>
      </c>
      <c r="K221" s="129">
        <v>2018</v>
      </c>
      <c r="L221" s="121" t="s">
        <v>7499</v>
      </c>
      <c r="M221" s="130" t="s">
        <v>7729</v>
      </c>
    </row>
    <row r="222" spans="1:13" ht="16.2">
      <c r="A222" s="121">
        <v>316</v>
      </c>
      <c r="B222" s="121" t="s">
        <v>571</v>
      </c>
      <c r="C222" s="121" t="s">
        <v>7464</v>
      </c>
      <c r="D222" s="121">
        <v>9781522529941</v>
      </c>
      <c r="E222" s="121">
        <v>9781522529934</v>
      </c>
      <c r="F222" s="121" t="s">
        <v>7295</v>
      </c>
      <c r="G222" s="121">
        <v>1</v>
      </c>
      <c r="H222" s="121" t="s">
        <v>6518</v>
      </c>
      <c r="I222" s="121" t="s">
        <v>7296</v>
      </c>
      <c r="J222" s="121" t="s">
        <v>1233</v>
      </c>
      <c r="K222" s="129">
        <v>2018</v>
      </c>
      <c r="L222" s="121" t="s">
        <v>7499</v>
      </c>
      <c r="M222" s="130" t="s">
        <v>7730</v>
      </c>
    </row>
    <row r="223" spans="1:13" ht="16.2">
      <c r="A223" s="121">
        <v>317</v>
      </c>
      <c r="B223" s="121" t="s">
        <v>571</v>
      </c>
      <c r="C223" s="121" t="s">
        <v>7464</v>
      </c>
      <c r="D223" s="121">
        <v>9781522537236</v>
      </c>
      <c r="E223" s="121">
        <v>9781522537229</v>
      </c>
      <c r="F223" s="121" t="s">
        <v>7297</v>
      </c>
      <c r="G223" s="121">
        <v>1</v>
      </c>
      <c r="H223" s="121" t="s">
        <v>6518</v>
      </c>
      <c r="I223" s="121" t="s">
        <v>7298</v>
      </c>
      <c r="J223" s="121" t="s">
        <v>1233</v>
      </c>
      <c r="K223" s="129">
        <v>2018</v>
      </c>
      <c r="L223" s="121" t="s">
        <v>7499</v>
      </c>
      <c r="M223" s="130" t="s">
        <v>7731</v>
      </c>
    </row>
    <row r="224" spans="1:13" ht="16.2">
      <c r="A224" s="121">
        <v>318</v>
      </c>
      <c r="B224" s="121" t="s">
        <v>571</v>
      </c>
      <c r="C224" s="121" t="s">
        <v>7464</v>
      </c>
      <c r="D224" s="121">
        <v>9781522527145</v>
      </c>
      <c r="E224" s="121">
        <v>9781522527138</v>
      </c>
      <c r="F224" s="121" t="s">
        <v>7299</v>
      </c>
      <c r="G224" s="121">
        <v>1</v>
      </c>
      <c r="H224" s="121" t="s">
        <v>6518</v>
      </c>
      <c r="I224" s="121" t="s">
        <v>7300</v>
      </c>
      <c r="J224" s="121" t="s">
        <v>1233</v>
      </c>
      <c r="K224" s="129">
        <v>2018</v>
      </c>
      <c r="L224" s="121" t="s">
        <v>7499</v>
      </c>
      <c r="M224" s="130" t="s">
        <v>7732</v>
      </c>
    </row>
    <row r="225" spans="1:13" ht="16.2">
      <c r="A225" s="121">
        <v>319</v>
      </c>
      <c r="B225" s="121" t="s">
        <v>571</v>
      </c>
      <c r="C225" s="121" t="s">
        <v>7465</v>
      </c>
      <c r="D225" s="121">
        <v>9781522539049</v>
      </c>
      <c r="E225" s="121">
        <v>9781522539032</v>
      </c>
      <c r="F225" s="121" t="s">
        <v>7301</v>
      </c>
      <c r="G225" s="121">
        <v>1</v>
      </c>
      <c r="H225" s="121" t="s">
        <v>6518</v>
      </c>
      <c r="I225" s="121" t="s">
        <v>7302</v>
      </c>
      <c r="J225" s="121" t="s">
        <v>1233</v>
      </c>
      <c r="K225" s="129">
        <v>2018</v>
      </c>
      <c r="L225" s="121" t="s">
        <v>7499</v>
      </c>
      <c r="M225" s="130" t="s">
        <v>7733</v>
      </c>
    </row>
    <row r="226" spans="1:13" ht="16.2">
      <c r="A226" s="121">
        <v>320</v>
      </c>
      <c r="B226" s="121" t="s">
        <v>571</v>
      </c>
      <c r="C226" s="121" t="s">
        <v>7465</v>
      </c>
      <c r="D226" s="121">
        <v>9781522541097</v>
      </c>
      <c r="E226" s="121">
        <v>9781522541080</v>
      </c>
      <c r="F226" s="121" t="s">
        <v>7303</v>
      </c>
      <c r="G226" s="121">
        <v>1</v>
      </c>
      <c r="H226" s="121" t="s">
        <v>6518</v>
      </c>
      <c r="I226" s="121" t="s">
        <v>7304</v>
      </c>
      <c r="J226" s="121" t="s">
        <v>1233</v>
      </c>
      <c r="K226" s="129">
        <v>2018</v>
      </c>
      <c r="L226" s="121" t="s">
        <v>7499</v>
      </c>
      <c r="M226" s="130" t="s">
        <v>7734</v>
      </c>
    </row>
    <row r="227" spans="1:13" ht="16.2">
      <c r="A227" s="121">
        <v>321</v>
      </c>
      <c r="B227" s="121" t="s">
        <v>571</v>
      </c>
      <c r="C227" s="121" t="s">
        <v>7466</v>
      </c>
      <c r="D227" s="121">
        <v>9781522552178</v>
      </c>
      <c r="E227" s="121">
        <v>9781522552161</v>
      </c>
      <c r="F227" s="121" t="s">
        <v>7305</v>
      </c>
      <c r="G227" s="121">
        <v>1</v>
      </c>
      <c r="H227" s="121" t="s">
        <v>6518</v>
      </c>
      <c r="I227" s="121" t="s">
        <v>7291</v>
      </c>
      <c r="J227" s="121" t="s">
        <v>1233</v>
      </c>
      <c r="K227" s="129">
        <v>2018</v>
      </c>
      <c r="L227" s="121" t="s">
        <v>7499</v>
      </c>
      <c r="M227" s="130" t="s">
        <v>7735</v>
      </c>
    </row>
    <row r="228" spans="1:13" ht="16.2">
      <c r="A228" s="121">
        <v>322</v>
      </c>
      <c r="B228" s="121" t="s">
        <v>571</v>
      </c>
      <c r="C228" s="121" t="s">
        <v>7466</v>
      </c>
      <c r="D228" s="121">
        <v>9781522551713</v>
      </c>
      <c r="E228" s="121">
        <v>9781522551706</v>
      </c>
      <c r="F228" s="121" t="s">
        <v>7306</v>
      </c>
      <c r="G228" s="121">
        <v>1</v>
      </c>
      <c r="H228" s="121" t="s">
        <v>6518</v>
      </c>
      <c r="I228" s="121" t="s">
        <v>7307</v>
      </c>
      <c r="J228" s="121" t="s">
        <v>1233</v>
      </c>
      <c r="K228" s="129">
        <v>2018</v>
      </c>
      <c r="L228" s="121" t="s">
        <v>7499</v>
      </c>
      <c r="M228" s="130" t="s">
        <v>7736</v>
      </c>
    </row>
    <row r="229" spans="1:13" ht="16.2">
      <c r="A229" s="121">
        <v>323</v>
      </c>
      <c r="B229" s="121" t="s">
        <v>571</v>
      </c>
      <c r="C229" s="121" t="s">
        <v>7466</v>
      </c>
      <c r="D229" s="121">
        <v>9781522541813</v>
      </c>
      <c r="E229" s="121">
        <v>9781522541806</v>
      </c>
      <c r="F229" s="121" t="s">
        <v>7308</v>
      </c>
      <c r="G229" s="121">
        <v>1</v>
      </c>
      <c r="H229" s="121" t="s">
        <v>6518</v>
      </c>
      <c r="I229" s="121" t="s">
        <v>7309</v>
      </c>
      <c r="J229" s="121" t="s">
        <v>1233</v>
      </c>
      <c r="K229" s="129">
        <v>2018</v>
      </c>
      <c r="L229" s="121" t="s">
        <v>7499</v>
      </c>
      <c r="M229" s="130" t="s">
        <v>7737</v>
      </c>
    </row>
    <row r="230" spans="1:13" ht="16.2">
      <c r="A230" s="121">
        <v>324</v>
      </c>
      <c r="B230" s="121" t="s">
        <v>571</v>
      </c>
      <c r="C230" s="121" t="s">
        <v>7466</v>
      </c>
      <c r="D230" s="121">
        <v>9781522541950</v>
      </c>
      <c r="E230" s="121">
        <v>9781522541943</v>
      </c>
      <c r="F230" s="121" t="s">
        <v>7310</v>
      </c>
      <c r="G230" s="121">
        <v>1</v>
      </c>
      <c r="H230" s="121" t="s">
        <v>6518</v>
      </c>
      <c r="I230" s="121" t="s">
        <v>7311</v>
      </c>
      <c r="J230" s="121" t="s">
        <v>1233</v>
      </c>
      <c r="K230" s="129">
        <v>2018</v>
      </c>
      <c r="L230" s="121" t="s">
        <v>7499</v>
      </c>
      <c r="M230" s="130" t="s">
        <v>7738</v>
      </c>
    </row>
    <row r="231" spans="1:13" ht="16.2">
      <c r="A231" s="121">
        <v>325</v>
      </c>
      <c r="B231" s="121" t="s">
        <v>571</v>
      </c>
      <c r="C231" s="121" t="s">
        <v>7466</v>
      </c>
      <c r="D231" s="121">
        <v>9781522529040</v>
      </c>
      <c r="E231" s="121">
        <v>9781522529033</v>
      </c>
      <c r="F231" s="121" t="s">
        <v>7312</v>
      </c>
      <c r="G231" s="121">
        <v>1</v>
      </c>
      <c r="H231" s="121" t="s">
        <v>6518</v>
      </c>
      <c r="I231" s="121" t="s">
        <v>7313</v>
      </c>
      <c r="J231" s="121" t="s">
        <v>1233</v>
      </c>
      <c r="K231" s="129">
        <v>2018</v>
      </c>
      <c r="L231" s="121" t="s">
        <v>7499</v>
      </c>
      <c r="M231" s="130" t="s">
        <v>7739</v>
      </c>
    </row>
    <row r="232" spans="1:13" ht="16.2">
      <c r="A232" s="121">
        <v>326</v>
      </c>
      <c r="B232" s="121" t="s">
        <v>571</v>
      </c>
      <c r="C232" s="121" t="s">
        <v>7466</v>
      </c>
      <c r="D232" s="121">
        <v>9781522530244</v>
      </c>
      <c r="E232" s="121">
        <v>9781522530237</v>
      </c>
      <c r="F232" s="121" t="s">
        <v>7314</v>
      </c>
      <c r="G232" s="121">
        <v>1</v>
      </c>
      <c r="H232" s="121" t="s">
        <v>6518</v>
      </c>
      <c r="I232" s="121" t="s">
        <v>7315</v>
      </c>
      <c r="J232" s="121" t="s">
        <v>1233</v>
      </c>
      <c r="K232" s="129">
        <v>2018</v>
      </c>
      <c r="L232" s="121" t="s">
        <v>7499</v>
      </c>
      <c r="M232" s="130" t="s">
        <v>7740</v>
      </c>
    </row>
    <row r="233" spans="1:13" ht="16.2">
      <c r="A233" s="121">
        <v>327</v>
      </c>
      <c r="B233" s="121" t="s">
        <v>571</v>
      </c>
      <c r="C233" s="121" t="s">
        <v>7466</v>
      </c>
      <c r="D233" s="121">
        <v>9781522540694</v>
      </c>
      <c r="E233" s="121">
        <v>9781522522898</v>
      </c>
      <c r="F233" s="121" t="s">
        <v>7316</v>
      </c>
      <c r="G233" s="121">
        <v>1</v>
      </c>
      <c r="H233" s="121" t="s">
        <v>6518</v>
      </c>
      <c r="I233" s="121" t="s">
        <v>7076</v>
      </c>
      <c r="J233" s="121" t="s">
        <v>1233</v>
      </c>
      <c r="K233" s="129">
        <v>2017</v>
      </c>
      <c r="L233" s="121" t="s">
        <v>7499</v>
      </c>
      <c r="M233" s="130" t="s">
        <v>7741</v>
      </c>
    </row>
    <row r="234" spans="1:13" ht="16.2">
      <c r="A234" s="121">
        <v>328</v>
      </c>
      <c r="B234" s="121" t="s">
        <v>571</v>
      </c>
      <c r="C234" s="121" t="s">
        <v>7467</v>
      </c>
      <c r="D234" s="121">
        <v>9781522550402</v>
      </c>
      <c r="E234" s="121">
        <v>9781522550396</v>
      </c>
      <c r="F234" s="121" t="s">
        <v>7317</v>
      </c>
      <c r="G234" s="121">
        <v>1</v>
      </c>
      <c r="H234" s="121" t="s">
        <v>6518</v>
      </c>
      <c r="I234" s="121" t="s">
        <v>7318</v>
      </c>
      <c r="J234" s="121" t="s">
        <v>1233</v>
      </c>
      <c r="K234" s="129">
        <v>2018</v>
      </c>
      <c r="L234" s="121" t="s">
        <v>7499</v>
      </c>
      <c r="M234" s="130" t="s">
        <v>7742</v>
      </c>
    </row>
    <row r="235" spans="1:13" ht="16.2">
      <c r="A235" s="121">
        <v>329</v>
      </c>
      <c r="B235" s="121" t="s">
        <v>571</v>
      </c>
      <c r="C235" s="121" t="s">
        <v>7467</v>
      </c>
      <c r="D235" s="121">
        <v>9781522556442</v>
      </c>
      <c r="E235" s="121">
        <v>9781522556435</v>
      </c>
      <c r="F235" s="121" t="s">
        <v>7319</v>
      </c>
      <c r="G235" s="121">
        <v>4</v>
      </c>
      <c r="H235" s="121" t="s">
        <v>6518</v>
      </c>
      <c r="I235" s="121" t="s">
        <v>1424</v>
      </c>
      <c r="J235" s="121" t="s">
        <v>1233</v>
      </c>
      <c r="K235" s="129">
        <v>2018</v>
      </c>
      <c r="L235" s="121" t="s">
        <v>7499</v>
      </c>
      <c r="M235" s="130" t="s">
        <v>7743</v>
      </c>
    </row>
    <row r="236" spans="1:13" ht="16.2">
      <c r="A236" s="121">
        <v>330</v>
      </c>
      <c r="B236" s="121" t="s">
        <v>571</v>
      </c>
      <c r="C236" s="121" t="s">
        <v>7467</v>
      </c>
      <c r="D236" s="121">
        <v>9781522554196</v>
      </c>
      <c r="E236" s="121">
        <v>9781522554189</v>
      </c>
      <c r="F236" s="121" t="s">
        <v>7320</v>
      </c>
      <c r="G236" s="121">
        <v>1</v>
      </c>
      <c r="H236" s="121" t="s">
        <v>6518</v>
      </c>
      <c r="I236" s="121" t="s">
        <v>7321</v>
      </c>
      <c r="J236" s="121" t="s">
        <v>1233</v>
      </c>
      <c r="K236" s="129">
        <v>2018</v>
      </c>
      <c r="L236" s="121" t="s">
        <v>7499</v>
      </c>
      <c r="M236" s="130" t="s">
        <v>7744</v>
      </c>
    </row>
    <row r="237" spans="1:13" ht="16.2">
      <c r="A237" s="121">
        <v>331</v>
      </c>
      <c r="B237" s="121" t="s">
        <v>571</v>
      </c>
      <c r="C237" s="121" t="s">
        <v>7467</v>
      </c>
      <c r="D237" s="121">
        <v>9781522547617</v>
      </c>
      <c r="E237" s="121">
        <v>9781522547600</v>
      </c>
      <c r="F237" s="121" t="s">
        <v>7322</v>
      </c>
      <c r="G237" s="121">
        <v>1</v>
      </c>
      <c r="H237" s="121" t="s">
        <v>6518</v>
      </c>
      <c r="I237" s="121" t="s">
        <v>7323</v>
      </c>
      <c r="J237" s="121" t="s">
        <v>1233</v>
      </c>
      <c r="K237" s="129">
        <v>2018</v>
      </c>
      <c r="L237" s="121" t="s">
        <v>7499</v>
      </c>
      <c r="M237" s="130" t="s">
        <v>7745</v>
      </c>
    </row>
    <row r="238" spans="1:13" ht="16.2">
      <c r="A238" s="121">
        <v>332</v>
      </c>
      <c r="B238" s="121" t="s">
        <v>571</v>
      </c>
      <c r="C238" s="121" t="s">
        <v>7467</v>
      </c>
      <c r="D238" s="121">
        <v>9781522539827</v>
      </c>
      <c r="E238" s="121">
        <v>9781522539810</v>
      </c>
      <c r="F238" s="121" t="s">
        <v>7324</v>
      </c>
      <c r="G238" s="121">
        <v>1</v>
      </c>
      <c r="H238" s="121" t="s">
        <v>6518</v>
      </c>
      <c r="I238" s="121" t="s">
        <v>7325</v>
      </c>
      <c r="J238" s="121" t="s">
        <v>1233</v>
      </c>
      <c r="K238" s="129">
        <v>2018</v>
      </c>
      <c r="L238" s="121" t="s">
        <v>7499</v>
      </c>
      <c r="M238" s="130" t="s">
        <v>7746</v>
      </c>
    </row>
    <row r="239" spans="1:13" ht="16.2">
      <c r="A239" s="121">
        <v>333</v>
      </c>
      <c r="B239" s="121" t="s">
        <v>571</v>
      </c>
      <c r="C239" s="121" t="s">
        <v>7467</v>
      </c>
      <c r="D239" s="121">
        <v>9781522555117</v>
      </c>
      <c r="E239" s="121">
        <v>9781522555100</v>
      </c>
      <c r="F239" s="121" t="s">
        <v>7326</v>
      </c>
      <c r="G239" s="121">
        <v>1</v>
      </c>
      <c r="H239" s="121" t="s">
        <v>6518</v>
      </c>
      <c r="I239" s="121" t="s">
        <v>7327</v>
      </c>
      <c r="J239" s="121" t="s">
        <v>1233</v>
      </c>
      <c r="K239" s="129">
        <v>2018</v>
      </c>
      <c r="L239" s="121" t="s">
        <v>7499</v>
      </c>
      <c r="M239" s="130" t="s">
        <v>7747</v>
      </c>
    </row>
    <row r="240" spans="1:13" ht="16.2">
      <c r="A240" s="121">
        <v>334</v>
      </c>
      <c r="B240" s="121" t="s">
        <v>571</v>
      </c>
      <c r="C240" s="121" t="s">
        <v>7467</v>
      </c>
      <c r="D240" s="121">
        <v>9781522557371</v>
      </c>
      <c r="E240" s="121">
        <v>9781522557364</v>
      </c>
      <c r="F240" s="121" t="s">
        <v>7328</v>
      </c>
      <c r="G240" s="121">
        <v>1</v>
      </c>
      <c r="H240" s="121" t="s">
        <v>6518</v>
      </c>
      <c r="I240" s="121" t="s">
        <v>7329</v>
      </c>
      <c r="J240" s="121" t="s">
        <v>569</v>
      </c>
      <c r="K240" s="129">
        <v>2018</v>
      </c>
      <c r="L240" s="121" t="s">
        <v>7499</v>
      </c>
      <c r="M240" s="130" t="s">
        <v>7748</v>
      </c>
    </row>
    <row r="241" spans="1:13" ht="16.2">
      <c r="A241" s="121">
        <v>335</v>
      </c>
      <c r="B241" s="121" t="s">
        <v>571</v>
      </c>
      <c r="C241" s="121" t="s">
        <v>7467</v>
      </c>
      <c r="D241" s="121">
        <v>9781522559733</v>
      </c>
      <c r="E241" s="121">
        <v>9781522559726</v>
      </c>
      <c r="F241" s="121" t="s">
        <v>7330</v>
      </c>
      <c r="G241" s="121">
        <v>1</v>
      </c>
      <c r="H241" s="121" t="s">
        <v>6518</v>
      </c>
      <c r="I241" s="121" t="s">
        <v>1797</v>
      </c>
      <c r="J241" s="121" t="s">
        <v>1233</v>
      </c>
      <c r="K241" s="129">
        <v>2018</v>
      </c>
      <c r="L241" s="121" t="s">
        <v>7499</v>
      </c>
      <c r="M241" s="130" t="s">
        <v>7749</v>
      </c>
    </row>
    <row r="242" spans="1:13" ht="16.2">
      <c r="A242" s="121">
        <v>336</v>
      </c>
      <c r="B242" s="121" t="s">
        <v>571</v>
      </c>
      <c r="C242" s="121" t="s">
        <v>7467</v>
      </c>
      <c r="D242" s="121">
        <v>9781522559702</v>
      </c>
      <c r="E242" s="121">
        <v>9781522559696</v>
      </c>
      <c r="F242" s="121" t="s">
        <v>7331</v>
      </c>
      <c r="G242" s="121">
        <v>1</v>
      </c>
      <c r="H242" s="121" t="s">
        <v>6518</v>
      </c>
      <c r="I242" s="121" t="s">
        <v>7332</v>
      </c>
      <c r="J242" s="121" t="s">
        <v>1233</v>
      </c>
      <c r="K242" s="129">
        <v>2018</v>
      </c>
      <c r="L242" s="121" t="s">
        <v>7499</v>
      </c>
      <c r="M242" s="130" t="s">
        <v>7750</v>
      </c>
    </row>
    <row r="243" spans="1:13" ht="16.2">
      <c r="A243" s="121">
        <v>337</v>
      </c>
      <c r="B243" s="121" t="s">
        <v>571</v>
      </c>
      <c r="C243" s="121" t="s">
        <v>7467</v>
      </c>
      <c r="D243" s="121">
        <v>9781522538714</v>
      </c>
      <c r="E243" s="121">
        <v>9781522538707</v>
      </c>
      <c r="F243" s="121" t="s">
        <v>7333</v>
      </c>
      <c r="G243" s="121">
        <v>1</v>
      </c>
      <c r="H243" s="121" t="s">
        <v>6518</v>
      </c>
      <c r="I243" s="121" t="s">
        <v>7334</v>
      </c>
      <c r="J243" s="121" t="s">
        <v>1233</v>
      </c>
      <c r="K243" s="129">
        <v>2018</v>
      </c>
      <c r="L243" s="121" t="s">
        <v>7499</v>
      </c>
      <c r="M243" s="130" t="s">
        <v>7751</v>
      </c>
    </row>
    <row r="244" spans="1:13" ht="16.2">
      <c r="A244" s="121">
        <v>338</v>
      </c>
      <c r="B244" s="121" t="s">
        <v>571</v>
      </c>
      <c r="C244" s="121" t="s">
        <v>7467</v>
      </c>
      <c r="D244" s="121">
        <v>9781522553854</v>
      </c>
      <c r="E244" s="121">
        <v>9781522553847</v>
      </c>
      <c r="F244" s="121" t="s">
        <v>7335</v>
      </c>
      <c r="G244" s="121">
        <v>1</v>
      </c>
      <c r="H244" s="121" t="s">
        <v>6518</v>
      </c>
      <c r="I244" s="121" t="s">
        <v>7336</v>
      </c>
      <c r="J244" s="121" t="s">
        <v>1233</v>
      </c>
      <c r="K244" s="129">
        <v>2018</v>
      </c>
      <c r="L244" s="121" t="s">
        <v>7499</v>
      </c>
      <c r="M244" s="130" t="s">
        <v>7752</v>
      </c>
    </row>
    <row r="245" spans="1:13" ht="16.2">
      <c r="A245" s="121">
        <v>339</v>
      </c>
      <c r="B245" s="121" t="s">
        <v>571</v>
      </c>
      <c r="C245" s="121" t="s">
        <v>7467</v>
      </c>
      <c r="D245" s="121">
        <v>9781522556299</v>
      </c>
      <c r="E245" s="121">
        <v>9781522556282</v>
      </c>
      <c r="F245" s="121" t="s">
        <v>7337</v>
      </c>
      <c r="G245" s="121">
        <v>1</v>
      </c>
      <c r="H245" s="121" t="s">
        <v>6518</v>
      </c>
      <c r="I245" s="121" t="s">
        <v>3407</v>
      </c>
      <c r="J245" s="121" t="s">
        <v>1233</v>
      </c>
      <c r="K245" s="129">
        <v>2018</v>
      </c>
      <c r="L245" s="121" t="s">
        <v>7499</v>
      </c>
      <c r="M245" s="130" t="s">
        <v>7753</v>
      </c>
    </row>
    <row r="246" spans="1:13" ht="16.2">
      <c r="A246" s="121">
        <v>340</v>
      </c>
      <c r="B246" s="121" t="s">
        <v>571</v>
      </c>
      <c r="C246" s="121" t="s">
        <v>7467</v>
      </c>
      <c r="D246" s="121">
        <v>9781522555841</v>
      </c>
      <c r="E246" s="121">
        <v>9781522555834</v>
      </c>
      <c r="F246" s="121" t="s">
        <v>7338</v>
      </c>
      <c r="G246" s="121">
        <v>1</v>
      </c>
      <c r="H246" s="121" t="s">
        <v>6518</v>
      </c>
      <c r="I246" s="121" t="s">
        <v>7329</v>
      </c>
      <c r="J246" s="121" t="s">
        <v>569</v>
      </c>
      <c r="K246" s="129">
        <v>2018</v>
      </c>
      <c r="L246" s="121" t="s">
        <v>7499</v>
      </c>
      <c r="M246" s="130" t="s">
        <v>7754</v>
      </c>
    </row>
    <row r="247" spans="1:13" ht="16.2">
      <c r="A247" s="121">
        <v>341</v>
      </c>
      <c r="B247" s="121" t="s">
        <v>571</v>
      </c>
      <c r="C247" s="121" t="s">
        <v>7467</v>
      </c>
      <c r="D247" s="121">
        <v>9781522552208</v>
      </c>
      <c r="E247" s="121">
        <v>9781522552192</v>
      </c>
      <c r="F247" s="121" t="s">
        <v>7339</v>
      </c>
      <c r="G247" s="121">
        <v>1</v>
      </c>
      <c r="H247" s="121" t="s">
        <v>6518</v>
      </c>
      <c r="I247" s="121" t="s">
        <v>5648</v>
      </c>
      <c r="J247" s="121" t="s">
        <v>1233</v>
      </c>
      <c r="K247" s="129">
        <v>2018</v>
      </c>
      <c r="L247" s="121" t="s">
        <v>7499</v>
      </c>
      <c r="M247" s="130" t="s">
        <v>7755</v>
      </c>
    </row>
    <row r="248" spans="1:13" ht="16.2">
      <c r="A248" s="121">
        <v>342</v>
      </c>
      <c r="B248" s="121" t="s">
        <v>571</v>
      </c>
      <c r="C248" s="121" t="s">
        <v>7467</v>
      </c>
      <c r="D248" s="121">
        <v>9781522550211</v>
      </c>
      <c r="E248" s="121">
        <v>9781522550204</v>
      </c>
      <c r="F248" s="121" t="s">
        <v>7340</v>
      </c>
      <c r="G248" s="121">
        <v>1</v>
      </c>
      <c r="H248" s="121" t="s">
        <v>6518</v>
      </c>
      <c r="I248" s="121" t="s">
        <v>2596</v>
      </c>
      <c r="J248" s="121" t="s">
        <v>1233</v>
      </c>
      <c r="K248" s="129">
        <v>2018</v>
      </c>
      <c r="L248" s="121" t="s">
        <v>7499</v>
      </c>
      <c r="M248" s="130" t="s">
        <v>7756</v>
      </c>
    </row>
    <row r="249" spans="1:13" ht="16.2">
      <c r="A249" s="121">
        <v>343</v>
      </c>
      <c r="B249" s="121" t="s">
        <v>571</v>
      </c>
      <c r="C249" s="121" t="s">
        <v>7467</v>
      </c>
      <c r="D249" s="121">
        <v>9781522536444</v>
      </c>
      <c r="E249" s="121">
        <v>9781522536437</v>
      </c>
      <c r="F249" s="121" t="s">
        <v>7341</v>
      </c>
      <c r="G249" s="121">
        <v>1</v>
      </c>
      <c r="H249" s="121" t="s">
        <v>6518</v>
      </c>
      <c r="I249" s="121" t="s">
        <v>7342</v>
      </c>
      <c r="J249" s="121" t="s">
        <v>1233</v>
      </c>
      <c r="K249" s="129">
        <v>2018</v>
      </c>
      <c r="L249" s="121" t="s">
        <v>7499</v>
      </c>
      <c r="M249" s="130" t="s">
        <v>7757</v>
      </c>
    </row>
    <row r="250" spans="1:13" ht="16.2">
      <c r="A250" s="121">
        <v>344</v>
      </c>
      <c r="B250" s="121" t="s">
        <v>571</v>
      </c>
      <c r="C250" s="121" t="s">
        <v>7467</v>
      </c>
      <c r="D250" s="121">
        <v>9781522551355</v>
      </c>
      <c r="E250" s="121">
        <v>9781522551348</v>
      </c>
      <c r="F250" s="121" t="s">
        <v>7343</v>
      </c>
      <c r="G250" s="121">
        <v>1</v>
      </c>
      <c r="H250" s="121" t="s">
        <v>6518</v>
      </c>
      <c r="I250" s="121" t="s">
        <v>1413</v>
      </c>
      <c r="J250" s="121" t="s">
        <v>1233</v>
      </c>
      <c r="K250" s="129">
        <v>2018</v>
      </c>
      <c r="L250" s="121" t="s">
        <v>7499</v>
      </c>
      <c r="M250" s="130" t="s">
        <v>7758</v>
      </c>
    </row>
    <row r="251" spans="1:13" ht="16.2">
      <c r="A251" s="121">
        <v>345</v>
      </c>
      <c r="B251" s="121" t="s">
        <v>571</v>
      </c>
      <c r="C251" s="121" t="s">
        <v>7467</v>
      </c>
      <c r="D251" s="121">
        <v>9781522536413</v>
      </c>
      <c r="E251" s="121">
        <v>9781522536406</v>
      </c>
      <c r="F251" s="121" t="s">
        <v>7344</v>
      </c>
      <c r="G251" s="121">
        <v>1</v>
      </c>
      <c r="H251" s="121" t="s">
        <v>6518</v>
      </c>
      <c r="I251" s="121" t="s">
        <v>7345</v>
      </c>
      <c r="J251" s="121" t="s">
        <v>1233</v>
      </c>
      <c r="K251" s="129">
        <v>2018</v>
      </c>
      <c r="L251" s="121" t="s">
        <v>7499</v>
      </c>
      <c r="M251" s="130" t="s">
        <v>7759</v>
      </c>
    </row>
    <row r="252" spans="1:13" ht="16.2">
      <c r="A252" s="121">
        <v>346</v>
      </c>
      <c r="B252" s="121" t="s">
        <v>571</v>
      </c>
      <c r="C252" s="121" t="s">
        <v>7467</v>
      </c>
      <c r="D252" s="121">
        <v>9781522535324</v>
      </c>
      <c r="E252" s="121">
        <v>9781522535317</v>
      </c>
      <c r="F252" s="121" t="s">
        <v>7346</v>
      </c>
      <c r="G252" s="121">
        <v>1</v>
      </c>
      <c r="H252" s="121" t="s">
        <v>6518</v>
      </c>
      <c r="I252" s="121" t="s">
        <v>7347</v>
      </c>
      <c r="J252" s="121" t="s">
        <v>1233</v>
      </c>
      <c r="K252" s="129">
        <v>2018</v>
      </c>
      <c r="L252" s="121" t="s">
        <v>7499</v>
      </c>
      <c r="M252" s="130" t="s">
        <v>7760</v>
      </c>
    </row>
    <row r="253" spans="1:13" ht="16.2">
      <c r="A253" s="121">
        <v>347</v>
      </c>
      <c r="B253" s="121" t="s">
        <v>571</v>
      </c>
      <c r="C253" s="121" t="s">
        <v>7467</v>
      </c>
      <c r="D253" s="121">
        <v>9781522540786</v>
      </c>
      <c r="E253" s="121">
        <v>9781522540779</v>
      </c>
      <c r="F253" s="121" t="s">
        <v>7348</v>
      </c>
      <c r="G253" s="121">
        <v>1</v>
      </c>
      <c r="H253" s="121" t="s">
        <v>6518</v>
      </c>
      <c r="I253" s="121" t="s">
        <v>5596</v>
      </c>
      <c r="J253" s="121" t="s">
        <v>1233</v>
      </c>
      <c r="K253" s="129">
        <v>2018</v>
      </c>
      <c r="L253" s="121" t="s">
        <v>7499</v>
      </c>
      <c r="M253" s="130" t="s">
        <v>7761</v>
      </c>
    </row>
    <row r="254" spans="1:13" ht="16.2">
      <c r="A254" s="121">
        <v>348</v>
      </c>
      <c r="B254" s="121" t="s">
        <v>571</v>
      </c>
      <c r="C254" s="121" t="s">
        <v>7467</v>
      </c>
      <c r="D254" s="121">
        <v>9781522550433</v>
      </c>
      <c r="E254" s="121">
        <v>9781522550426</v>
      </c>
      <c r="F254" s="121" t="s">
        <v>7349</v>
      </c>
      <c r="G254" s="121">
        <v>1</v>
      </c>
      <c r="H254" s="121" t="s">
        <v>6518</v>
      </c>
      <c r="I254" s="121" t="s">
        <v>7230</v>
      </c>
      <c r="J254" s="121" t="s">
        <v>1233</v>
      </c>
      <c r="K254" s="129">
        <v>2018</v>
      </c>
      <c r="L254" s="121" t="s">
        <v>7499</v>
      </c>
      <c r="M254" s="130" t="s">
        <v>7762</v>
      </c>
    </row>
    <row r="255" spans="1:13" ht="16.2">
      <c r="A255" s="121">
        <v>349</v>
      </c>
      <c r="B255" s="121" t="s">
        <v>571</v>
      </c>
      <c r="C255" s="121" t="s">
        <v>7467</v>
      </c>
      <c r="D255" s="121">
        <v>9781522551591</v>
      </c>
      <c r="E255" s="121">
        <v>9781522551584</v>
      </c>
      <c r="F255" s="121" t="s">
        <v>7350</v>
      </c>
      <c r="G255" s="121">
        <v>1</v>
      </c>
      <c r="H255" s="121" t="s">
        <v>6518</v>
      </c>
      <c r="I255" s="121" t="s">
        <v>7351</v>
      </c>
      <c r="J255" s="121" t="s">
        <v>569</v>
      </c>
      <c r="K255" s="129">
        <v>2018</v>
      </c>
      <c r="L255" s="121" t="s">
        <v>7499</v>
      </c>
      <c r="M255" s="130" t="s">
        <v>7763</v>
      </c>
    </row>
    <row r="256" spans="1:13" ht="16.2">
      <c r="A256" s="121">
        <v>350</v>
      </c>
      <c r="B256" s="121" t="s">
        <v>571</v>
      </c>
      <c r="C256" s="121" t="s">
        <v>7467</v>
      </c>
      <c r="D256" s="121">
        <v>9781522532453</v>
      </c>
      <c r="E256" s="121">
        <v>9781522532446</v>
      </c>
      <c r="F256" s="121" t="s">
        <v>7352</v>
      </c>
      <c r="G256" s="121">
        <v>1</v>
      </c>
      <c r="H256" s="121" t="s">
        <v>6518</v>
      </c>
      <c r="I256" s="121" t="s">
        <v>7353</v>
      </c>
      <c r="J256" s="121" t="s">
        <v>1233</v>
      </c>
      <c r="K256" s="129">
        <v>2018</v>
      </c>
      <c r="L256" s="121" t="s">
        <v>7499</v>
      </c>
      <c r="M256" s="130" t="s">
        <v>7764</v>
      </c>
    </row>
    <row r="257" spans="1:13" ht="16.2">
      <c r="A257" s="121">
        <v>351</v>
      </c>
      <c r="B257" s="121" t="s">
        <v>571</v>
      </c>
      <c r="C257" s="121" t="s">
        <v>7467</v>
      </c>
      <c r="D257" s="121">
        <v>9781522531432</v>
      </c>
      <c r="E257" s="121">
        <v>9781522531425</v>
      </c>
      <c r="F257" s="121" t="s">
        <v>7354</v>
      </c>
      <c r="G257" s="121">
        <v>2</v>
      </c>
      <c r="H257" s="121" t="s">
        <v>6518</v>
      </c>
      <c r="I257" s="121" t="s">
        <v>6262</v>
      </c>
      <c r="J257" s="121" t="s">
        <v>1233</v>
      </c>
      <c r="K257" s="129">
        <v>2018</v>
      </c>
      <c r="L257" s="121" t="s">
        <v>7499</v>
      </c>
      <c r="M257" s="130" t="s">
        <v>7765</v>
      </c>
    </row>
    <row r="258" spans="1:13" ht="16.2">
      <c r="A258" s="121">
        <v>352</v>
      </c>
      <c r="B258" s="121" t="s">
        <v>571</v>
      </c>
      <c r="C258" s="121" t="s">
        <v>7467</v>
      </c>
      <c r="D258" s="121">
        <v>9781522538004</v>
      </c>
      <c r="E258" s="121">
        <v>9781522537991</v>
      </c>
      <c r="F258" s="121" t="s">
        <v>7355</v>
      </c>
      <c r="G258" s="121">
        <v>1</v>
      </c>
      <c r="H258" s="121" t="s">
        <v>6518</v>
      </c>
      <c r="I258" s="121" t="s">
        <v>7356</v>
      </c>
      <c r="J258" s="121" t="s">
        <v>1233</v>
      </c>
      <c r="K258" s="129">
        <v>2018</v>
      </c>
      <c r="L258" s="121" t="s">
        <v>7499</v>
      </c>
      <c r="M258" s="130" t="s">
        <v>7766</v>
      </c>
    </row>
    <row r="259" spans="1:13" ht="16.2">
      <c r="A259" s="121">
        <v>353</v>
      </c>
      <c r="B259" s="121" t="s">
        <v>571</v>
      </c>
      <c r="C259" s="121" t="s">
        <v>7467</v>
      </c>
      <c r="D259" s="121">
        <v>9781522530305</v>
      </c>
      <c r="E259" s="121">
        <v>9781522530299</v>
      </c>
      <c r="F259" s="121" t="s">
        <v>7357</v>
      </c>
      <c r="G259" s="121">
        <v>1</v>
      </c>
      <c r="H259" s="121" t="s">
        <v>6518</v>
      </c>
      <c r="I259" s="121" t="s">
        <v>3900</v>
      </c>
      <c r="J259" s="121" t="s">
        <v>569</v>
      </c>
      <c r="K259" s="129">
        <v>2018</v>
      </c>
      <c r="L259" s="121" t="s">
        <v>7499</v>
      </c>
      <c r="M259" s="130" t="s">
        <v>7767</v>
      </c>
    </row>
    <row r="260" spans="1:13" ht="16.2">
      <c r="A260" s="121">
        <v>354</v>
      </c>
      <c r="B260" s="121" t="s">
        <v>571</v>
      </c>
      <c r="C260" s="121" t="s">
        <v>7467</v>
      </c>
      <c r="D260" s="121">
        <v>9781522530053</v>
      </c>
      <c r="E260" s="121">
        <v>9781522530046</v>
      </c>
      <c r="F260" s="121" t="s">
        <v>7358</v>
      </c>
      <c r="G260" s="121">
        <v>1</v>
      </c>
      <c r="H260" s="121" t="s">
        <v>6518</v>
      </c>
      <c r="I260" s="121" t="s">
        <v>7359</v>
      </c>
      <c r="J260" s="121" t="s">
        <v>1233</v>
      </c>
      <c r="K260" s="129">
        <v>2018</v>
      </c>
      <c r="L260" s="121" t="s">
        <v>7499</v>
      </c>
      <c r="M260" s="130" t="s">
        <v>7768</v>
      </c>
    </row>
    <row r="261" spans="1:13" ht="16.2">
      <c r="A261" s="121">
        <v>355</v>
      </c>
      <c r="B261" s="121" t="s">
        <v>571</v>
      </c>
      <c r="C261" s="121" t="s">
        <v>7467</v>
      </c>
      <c r="D261" s="121">
        <v>9781522537083</v>
      </c>
      <c r="E261" s="121">
        <v>9781522537076</v>
      </c>
      <c r="F261" s="121" t="s">
        <v>7360</v>
      </c>
      <c r="G261" s="121">
        <v>1</v>
      </c>
      <c r="H261" s="121" t="s">
        <v>6518</v>
      </c>
      <c r="I261" s="121" t="s">
        <v>7361</v>
      </c>
      <c r="J261" s="121" t="s">
        <v>1233</v>
      </c>
      <c r="K261" s="129">
        <v>2018</v>
      </c>
      <c r="L261" s="121" t="s">
        <v>7499</v>
      </c>
      <c r="M261" s="130" t="s">
        <v>7769</v>
      </c>
    </row>
    <row r="262" spans="1:13" ht="16.2">
      <c r="A262" s="121">
        <v>356</v>
      </c>
      <c r="B262" s="121" t="s">
        <v>571</v>
      </c>
      <c r="C262" s="121" t="s">
        <v>7467</v>
      </c>
      <c r="D262" s="121">
        <v>9781522533863</v>
      </c>
      <c r="E262" s="121">
        <v>9781522533856</v>
      </c>
      <c r="F262" s="121" t="s">
        <v>7362</v>
      </c>
      <c r="G262" s="121">
        <v>1</v>
      </c>
      <c r="H262" s="121" t="s">
        <v>6518</v>
      </c>
      <c r="I262" s="121" t="s">
        <v>7363</v>
      </c>
      <c r="J262" s="121" t="s">
        <v>569</v>
      </c>
      <c r="K262" s="129">
        <v>2018</v>
      </c>
      <c r="L262" s="121" t="s">
        <v>7499</v>
      </c>
      <c r="M262" s="130" t="s">
        <v>7770</v>
      </c>
    </row>
    <row r="263" spans="1:13" ht="16.2">
      <c r="A263" s="121">
        <v>357</v>
      </c>
      <c r="B263" s="121" t="s">
        <v>571</v>
      </c>
      <c r="C263" s="121" t="s">
        <v>7467</v>
      </c>
      <c r="D263" s="121">
        <v>9781522541523</v>
      </c>
      <c r="E263" s="121">
        <v>9781522541516</v>
      </c>
      <c r="F263" s="121" t="s">
        <v>7364</v>
      </c>
      <c r="G263" s="121">
        <v>1</v>
      </c>
      <c r="H263" s="121" t="s">
        <v>6518</v>
      </c>
      <c r="I263" s="121" t="s">
        <v>6722</v>
      </c>
      <c r="J263" s="121" t="s">
        <v>1233</v>
      </c>
      <c r="K263" s="129">
        <v>2018</v>
      </c>
      <c r="L263" s="121" t="s">
        <v>7499</v>
      </c>
      <c r="M263" s="130" t="s">
        <v>7771</v>
      </c>
    </row>
    <row r="264" spans="1:13" ht="16.2">
      <c r="A264" s="121">
        <v>358</v>
      </c>
      <c r="B264" s="121" t="s">
        <v>571</v>
      </c>
      <c r="C264" s="121" t="s">
        <v>7467</v>
      </c>
      <c r="D264" s="121">
        <v>9781522527749</v>
      </c>
      <c r="E264" s="121">
        <v>9781522527732</v>
      </c>
      <c r="F264" s="121" t="s">
        <v>7365</v>
      </c>
      <c r="G264" s="121">
        <v>1</v>
      </c>
      <c r="H264" s="121" t="s">
        <v>6518</v>
      </c>
      <c r="I264" s="121" t="s">
        <v>7366</v>
      </c>
      <c r="J264" s="121" t="s">
        <v>1233</v>
      </c>
      <c r="K264" s="129">
        <v>2018</v>
      </c>
      <c r="L264" s="121" t="s">
        <v>7499</v>
      </c>
      <c r="M264" s="130" t="s">
        <v>7772</v>
      </c>
    </row>
    <row r="265" spans="1:13" ht="16.2">
      <c r="A265" s="121">
        <v>359</v>
      </c>
      <c r="B265" s="121" t="s">
        <v>571</v>
      </c>
      <c r="C265" s="121" t="s">
        <v>7467</v>
      </c>
      <c r="D265" s="121">
        <v>9781522524328</v>
      </c>
      <c r="E265" s="121">
        <v>9781522524311</v>
      </c>
      <c r="F265" s="121" t="s">
        <v>7367</v>
      </c>
      <c r="G265" s="121">
        <v>1</v>
      </c>
      <c r="H265" s="121" t="s">
        <v>6518</v>
      </c>
      <c r="I265" s="121" t="s">
        <v>7368</v>
      </c>
      <c r="J265" s="121" t="s">
        <v>1233</v>
      </c>
      <c r="K265" s="129">
        <v>2018</v>
      </c>
      <c r="L265" s="121" t="s">
        <v>7499</v>
      </c>
      <c r="M265" s="130" t="s">
        <v>7773</v>
      </c>
    </row>
    <row r="266" spans="1:13" ht="16.2">
      <c r="A266" s="121">
        <v>360</v>
      </c>
      <c r="B266" s="121" t="s">
        <v>571</v>
      </c>
      <c r="C266" s="121" t="s">
        <v>7467</v>
      </c>
      <c r="D266" s="121">
        <v>9781522529743</v>
      </c>
      <c r="E266" s="121">
        <v>9781522529736</v>
      </c>
      <c r="F266" s="121" t="s">
        <v>7369</v>
      </c>
      <c r="G266" s="121">
        <v>1</v>
      </c>
      <c r="H266" s="121" t="s">
        <v>6518</v>
      </c>
      <c r="I266" s="121" t="s">
        <v>7370</v>
      </c>
      <c r="J266" s="121" t="s">
        <v>1233</v>
      </c>
      <c r="K266" s="129">
        <v>2018</v>
      </c>
      <c r="L266" s="121" t="s">
        <v>7499</v>
      </c>
      <c r="M266" s="130" t="s">
        <v>7774</v>
      </c>
    </row>
    <row r="267" spans="1:13" ht="16.2">
      <c r="A267" s="121">
        <v>361</v>
      </c>
      <c r="B267" s="121" t="s">
        <v>571</v>
      </c>
      <c r="C267" s="121" t="s">
        <v>7467</v>
      </c>
      <c r="D267" s="121">
        <v>9781522531302</v>
      </c>
      <c r="E267" s="121">
        <v>9781522531296</v>
      </c>
      <c r="F267" s="121" t="s">
        <v>7371</v>
      </c>
      <c r="G267" s="121">
        <v>1</v>
      </c>
      <c r="H267" s="121" t="s">
        <v>6518</v>
      </c>
      <c r="I267" s="121" t="s">
        <v>7372</v>
      </c>
      <c r="J267" s="121" t="s">
        <v>1233</v>
      </c>
      <c r="K267" s="129">
        <v>2018</v>
      </c>
      <c r="L267" s="121" t="s">
        <v>7499</v>
      </c>
      <c r="M267" s="130" t="s">
        <v>7373</v>
      </c>
    </row>
    <row r="268" spans="1:13" ht="16.2">
      <c r="A268" s="121">
        <v>362</v>
      </c>
      <c r="B268" s="121" t="s">
        <v>571</v>
      </c>
      <c r="C268" s="121" t="s">
        <v>7467</v>
      </c>
      <c r="D268" s="121">
        <v>9781522531869</v>
      </c>
      <c r="E268" s="121">
        <v>9781522531852</v>
      </c>
      <c r="F268" s="121" t="s">
        <v>7374</v>
      </c>
      <c r="G268" s="121">
        <v>1</v>
      </c>
      <c r="H268" s="121" t="s">
        <v>6518</v>
      </c>
      <c r="I268" s="121" t="s">
        <v>7375</v>
      </c>
      <c r="J268" s="121" t="s">
        <v>1233</v>
      </c>
      <c r="K268" s="129">
        <v>2018</v>
      </c>
      <c r="L268" s="121" t="s">
        <v>7499</v>
      </c>
      <c r="M268" s="130" t="s">
        <v>7775</v>
      </c>
    </row>
    <row r="269" spans="1:13" ht="16.2">
      <c r="A269" s="121">
        <v>363</v>
      </c>
      <c r="B269" s="121" t="s">
        <v>571</v>
      </c>
      <c r="C269" s="121" t="s">
        <v>7467</v>
      </c>
      <c r="D269" s="121">
        <v>9781522536871</v>
      </c>
      <c r="E269" s="121">
        <v>9781522536864</v>
      </c>
      <c r="F269" s="121" t="s">
        <v>7376</v>
      </c>
      <c r="G269" s="121">
        <v>1</v>
      </c>
      <c r="H269" s="121" t="s">
        <v>6518</v>
      </c>
      <c r="I269" s="121" t="s">
        <v>575</v>
      </c>
      <c r="J269" s="121" t="s">
        <v>1233</v>
      </c>
      <c r="K269" s="129">
        <v>2018</v>
      </c>
      <c r="L269" s="121" t="s">
        <v>7499</v>
      </c>
      <c r="M269" s="130" t="s">
        <v>7776</v>
      </c>
    </row>
    <row r="270" spans="1:13" ht="16.2">
      <c r="A270" s="121">
        <v>364</v>
      </c>
      <c r="B270" s="121" t="s">
        <v>571</v>
      </c>
      <c r="C270" s="121" t="s">
        <v>7467</v>
      </c>
      <c r="D270" s="121">
        <v>9781522534181</v>
      </c>
      <c r="E270" s="121">
        <v>9781522534174</v>
      </c>
      <c r="F270" s="121" t="s">
        <v>7377</v>
      </c>
      <c r="G270" s="121">
        <v>4</v>
      </c>
      <c r="H270" s="121" t="s">
        <v>6518</v>
      </c>
      <c r="I270" s="121" t="s">
        <v>1424</v>
      </c>
      <c r="J270" s="121" t="s">
        <v>1233</v>
      </c>
      <c r="K270" s="129">
        <v>2018</v>
      </c>
      <c r="L270" s="121" t="s">
        <v>7499</v>
      </c>
      <c r="M270" s="130" t="s">
        <v>7777</v>
      </c>
    </row>
    <row r="271" spans="1:13" ht="16.2">
      <c r="A271" s="121">
        <v>365</v>
      </c>
      <c r="B271" s="121" t="s">
        <v>571</v>
      </c>
      <c r="C271" s="121" t="s">
        <v>7467</v>
      </c>
      <c r="D271" s="121">
        <v>9781522529163</v>
      </c>
      <c r="E271" s="121">
        <v>9781522529156</v>
      </c>
      <c r="F271" s="121" t="s">
        <v>7378</v>
      </c>
      <c r="G271" s="121">
        <v>1</v>
      </c>
      <c r="H271" s="121" t="s">
        <v>6518</v>
      </c>
      <c r="I271" s="121" t="s">
        <v>7379</v>
      </c>
      <c r="J271" s="121" t="s">
        <v>569</v>
      </c>
      <c r="K271" s="129">
        <v>2018</v>
      </c>
      <c r="L271" s="121" t="s">
        <v>7499</v>
      </c>
      <c r="M271" s="130" t="s">
        <v>7778</v>
      </c>
    </row>
    <row r="272" spans="1:13" ht="16.2">
      <c r="A272" s="121">
        <v>366</v>
      </c>
      <c r="B272" s="121" t="s">
        <v>571</v>
      </c>
      <c r="C272" s="121" t="s">
        <v>7467</v>
      </c>
      <c r="D272" s="121">
        <v>9781522527862</v>
      </c>
      <c r="E272" s="121">
        <v>9781522527855</v>
      </c>
      <c r="F272" s="121" t="s">
        <v>7380</v>
      </c>
      <c r="G272" s="121">
        <v>1</v>
      </c>
      <c r="H272" s="121" t="s">
        <v>6518</v>
      </c>
      <c r="I272" s="121" t="s">
        <v>7381</v>
      </c>
      <c r="J272" s="121" t="s">
        <v>1233</v>
      </c>
      <c r="K272" s="129">
        <v>2018</v>
      </c>
      <c r="L272" s="121" t="s">
        <v>7499</v>
      </c>
      <c r="M272" s="130" t="s">
        <v>7779</v>
      </c>
    </row>
    <row r="273" spans="1:13" ht="16.2">
      <c r="A273" s="121">
        <v>367</v>
      </c>
      <c r="B273" s="121" t="s">
        <v>571</v>
      </c>
      <c r="C273" s="121" t="s">
        <v>7467</v>
      </c>
      <c r="D273" s="121">
        <v>9781522529484</v>
      </c>
      <c r="E273" s="121">
        <v>9781522529477</v>
      </c>
      <c r="F273" s="121" t="s">
        <v>7382</v>
      </c>
      <c r="G273" s="121">
        <v>1</v>
      </c>
      <c r="H273" s="121" t="s">
        <v>6518</v>
      </c>
      <c r="I273" s="121" t="s">
        <v>7383</v>
      </c>
      <c r="J273" s="121" t="s">
        <v>1233</v>
      </c>
      <c r="K273" s="129">
        <v>2018</v>
      </c>
      <c r="L273" s="121" t="s">
        <v>7499</v>
      </c>
      <c r="M273" s="130" t="s">
        <v>7780</v>
      </c>
    </row>
    <row r="274" spans="1:13" ht="16.2">
      <c r="A274" s="121">
        <v>368</v>
      </c>
      <c r="B274" s="121" t="s">
        <v>571</v>
      </c>
      <c r="C274" s="121" t="s">
        <v>7467</v>
      </c>
      <c r="D274" s="121">
        <v>9781522534235</v>
      </c>
      <c r="E274" s="121">
        <v>9781522534228</v>
      </c>
      <c r="F274" s="121" t="s">
        <v>7384</v>
      </c>
      <c r="G274" s="121">
        <v>3</v>
      </c>
      <c r="H274" s="121" t="s">
        <v>6518</v>
      </c>
      <c r="I274" s="121" t="s">
        <v>1424</v>
      </c>
      <c r="J274" s="121" t="s">
        <v>1233</v>
      </c>
      <c r="K274" s="129">
        <v>2018</v>
      </c>
      <c r="L274" s="121" t="s">
        <v>7499</v>
      </c>
      <c r="M274" s="130" t="s">
        <v>7781</v>
      </c>
    </row>
    <row r="275" spans="1:13" ht="16.2">
      <c r="A275" s="121">
        <v>369</v>
      </c>
      <c r="B275" s="121" t="s">
        <v>571</v>
      </c>
      <c r="C275" s="121" t="s">
        <v>7467</v>
      </c>
      <c r="D275" s="121">
        <v>9781522531647</v>
      </c>
      <c r="E275" s="121">
        <v>9781522531630</v>
      </c>
      <c r="F275" s="121" t="s">
        <v>7385</v>
      </c>
      <c r="G275" s="121">
        <v>1</v>
      </c>
      <c r="H275" s="121" t="s">
        <v>6518</v>
      </c>
      <c r="I275" s="121" t="s">
        <v>1424</v>
      </c>
      <c r="J275" s="121" t="s">
        <v>569</v>
      </c>
      <c r="K275" s="129">
        <v>2018</v>
      </c>
      <c r="L275" s="121" t="s">
        <v>7499</v>
      </c>
      <c r="M275" s="130" t="s">
        <v>7782</v>
      </c>
    </row>
    <row r="276" spans="1:13" ht="16.2">
      <c r="A276" s="121">
        <v>370</v>
      </c>
      <c r="B276" s="121" t="s">
        <v>571</v>
      </c>
      <c r="C276" s="121" t="s">
        <v>7467</v>
      </c>
      <c r="D276" s="121">
        <v>9781522525905</v>
      </c>
      <c r="E276" s="121">
        <v>9781522525899</v>
      </c>
      <c r="F276" s="121" t="s">
        <v>7386</v>
      </c>
      <c r="G276" s="121">
        <v>1</v>
      </c>
      <c r="H276" s="121" t="s">
        <v>6518</v>
      </c>
      <c r="I276" s="121" t="s">
        <v>1424</v>
      </c>
      <c r="J276" s="121" t="s">
        <v>569</v>
      </c>
      <c r="K276" s="129">
        <v>2018</v>
      </c>
      <c r="L276" s="121" t="s">
        <v>7499</v>
      </c>
      <c r="M276" s="130" t="s">
        <v>7783</v>
      </c>
    </row>
    <row r="277" spans="1:13" ht="16.2">
      <c r="A277" s="121">
        <v>371</v>
      </c>
      <c r="B277" s="121" t="s">
        <v>571</v>
      </c>
      <c r="C277" s="121" t="s">
        <v>7467</v>
      </c>
      <c r="D277" s="121">
        <v>9781522539643</v>
      </c>
      <c r="E277" s="121">
        <v>9781522523857</v>
      </c>
      <c r="F277" s="121" t="s">
        <v>7387</v>
      </c>
      <c r="G277" s="121">
        <v>1</v>
      </c>
      <c r="H277" s="121" t="s">
        <v>6518</v>
      </c>
      <c r="I277" s="121" t="s">
        <v>7388</v>
      </c>
      <c r="J277" s="121" t="s">
        <v>569</v>
      </c>
      <c r="K277" s="129">
        <v>2017</v>
      </c>
      <c r="L277" s="121" t="s">
        <v>7499</v>
      </c>
      <c r="M277" s="130" t="s">
        <v>7784</v>
      </c>
    </row>
    <row r="278" spans="1:13" ht="16.2">
      <c r="A278" s="121">
        <v>372</v>
      </c>
      <c r="B278" s="121" t="s">
        <v>571</v>
      </c>
      <c r="C278" s="121" t="s">
        <v>7467</v>
      </c>
      <c r="D278" s="121">
        <v>9781522524878</v>
      </c>
      <c r="E278" s="121">
        <v>9781522524861</v>
      </c>
      <c r="F278" s="121" t="s">
        <v>7389</v>
      </c>
      <c r="G278" s="121">
        <v>1</v>
      </c>
      <c r="H278" s="121" t="s">
        <v>6518</v>
      </c>
      <c r="I278" s="121" t="s">
        <v>7390</v>
      </c>
      <c r="J278" s="121" t="s">
        <v>569</v>
      </c>
      <c r="K278" s="129">
        <v>2017</v>
      </c>
      <c r="L278" s="121" t="s">
        <v>7499</v>
      </c>
      <c r="M278" s="130" t="s">
        <v>7785</v>
      </c>
    </row>
    <row r="279" spans="1:13" ht="16.2">
      <c r="A279" s="121">
        <v>373</v>
      </c>
      <c r="B279" s="121" t="s">
        <v>571</v>
      </c>
      <c r="C279" s="121" t="s">
        <v>7467</v>
      </c>
      <c r="D279" s="121">
        <v>9781522538844</v>
      </c>
      <c r="E279" s="121">
        <v>9781522525455</v>
      </c>
      <c r="F279" s="121" t="s">
        <v>7391</v>
      </c>
      <c r="G279" s="121">
        <v>1</v>
      </c>
      <c r="H279" s="121" t="s">
        <v>6518</v>
      </c>
      <c r="I279" s="121" t="s">
        <v>881</v>
      </c>
      <c r="J279" s="121" t="s">
        <v>569</v>
      </c>
      <c r="K279" s="129">
        <v>2017</v>
      </c>
      <c r="L279" s="121" t="s">
        <v>7499</v>
      </c>
      <c r="M279" s="130" t="s">
        <v>7786</v>
      </c>
    </row>
    <row r="280" spans="1:13" ht="16.2">
      <c r="A280" s="121">
        <v>374</v>
      </c>
      <c r="B280" s="121" t="s">
        <v>571</v>
      </c>
      <c r="C280" s="121" t="s">
        <v>7467</v>
      </c>
      <c r="D280" s="121">
        <v>9781522538370</v>
      </c>
      <c r="E280" s="121">
        <v>9781522522966</v>
      </c>
      <c r="F280" s="121" t="s">
        <v>7392</v>
      </c>
      <c r="G280" s="121">
        <v>1</v>
      </c>
      <c r="H280" s="121" t="s">
        <v>6518</v>
      </c>
      <c r="I280" s="121" t="s">
        <v>7393</v>
      </c>
      <c r="J280" s="121" t="s">
        <v>569</v>
      </c>
      <c r="K280" s="129">
        <v>2017</v>
      </c>
      <c r="L280" s="121" t="s">
        <v>7499</v>
      </c>
      <c r="M280" s="130" t="s">
        <v>7787</v>
      </c>
    </row>
    <row r="281" spans="1:13" ht="16.2">
      <c r="A281" s="121">
        <v>379</v>
      </c>
      <c r="B281" s="121" t="s">
        <v>571</v>
      </c>
      <c r="C281" s="121" t="s">
        <v>7467</v>
      </c>
      <c r="D281" s="121">
        <v>9781522509844</v>
      </c>
      <c r="E281" s="121">
        <v>9781522509837</v>
      </c>
      <c r="F281" s="121" t="s">
        <v>7394</v>
      </c>
      <c r="G281" s="121">
        <v>3</v>
      </c>
      <c r="H281" s="121" t="s">
        <v>6518</v>
      </c>
      <c r="I281" s="121" t="s">
        <v>1424</v>
      </c>
      <c r="J281" s="121" t="s">
        <v>569</v>
      </c>
      <c r="K281" s="129">
        <v>2017</v>
      </c>
      <c r="L281" s="121" t="s">
        <v>7499</v>
      </c>
      <c r="M281" s="130" t="s">
        <v>7788</v>
      </c>
    </row>
    <row r="282" spans="1:13" ht="16.2">
      <c r="A282" s="121">
        <v>375</v>
      </c>
      <c r="B282" s="121" t="s">
        <v>571</v>
      </c>
      <c r="C282" s="121" t="s">
        <v>7467</v>
      </c>
      <c r="D282" s="121">
        <v>9781466699175</v>
      </c>
      <c r="E282" s="121">
        <v>9781466699168</v>
      </c>
      <c r="F282" s="121" t="s">
        <v>7395</v>
      </c>
      <c r="G282" s="121">
        <v>1</v>
      </c>
      <c r="H282" s="121" t="s">
        <v>6518</v>
      </c>
      <c r="I282" s="121" t="s">
        <v>7396</v>
      </c>
      <c r="J282" s="121" t="s">
        <v>569</v>
      </c>
      <c r="K282" s="129">
        <v>2016</v>
      </c>
      <c r="L282" s="121" t="s">
        <v>7499</v>
      </c>
      <c r="M282" s="130" t="s">
        <v>7789</v>
      </c>
    </row>
    <row r="283" spans="1:13" ht="16.2">
      <c r="A283" s="121">
        <v>376</v>
      </c>
      <c r="B283" s="121" t="s">
        <v>571</v>
      </c>
      <c r="C283" s="121" t="s">
        <v>7467</v>
      </c>
      <c r="D283" s="121">
        <v>9781466666405</v>
      </c>
      <c r="E283" s="121">
        <v>9781466666399</v>
      </c>
      <c r="F283" s="121" t="s">
        <v>7397</v>
      </c>
      <c r="G283" s="121">
        <v>1</v>
      </c>
      <c r="H283" s="121" t="s">
        <v>6518</v>
      </c>
      <c r="I283" s="121" t="s">
        <v>575</v>
      </c>
      <c r="J283" s="121" t="s">
        <v>569</v>
      </c>
      <c r="K283" s="129">
        <v>2015</v>
      </c>
      <c r="L283" s="121" t="s">
        <v>7499</v>
      </c>
      <c r="M283" s="130" t="s">
        <v>7790</v>
      </c>
    </row>
    <row r="284" spans="1:13" ht="16.2">
      <c r="A284" s="121">
        <v>377</v>
      </c>
      <c r="B284" s="121" t="s">
        <v>571</v>
      </c>
      <c r="C284" s="121" t="s">
        <v>7467</v>
      </c>
      <c r="D284" s="121">
        <v>9781466640399</v>
      </c>
      <c r="E284" s="121">
        <v>9781466640382</v>
      </c>
      <c r="F284" s="121" t="s">
        <v>7398</v>
      </c>
      <c r="G284" s="121">
        <v>1</v>
      </c>
      <c r="H284" s="121" t="s">
        <v>6518</v>
      </c>
      <c r="I284" s="121" t="s">
        <v>7399</v>
      </c>
      <c r="J284" s="121" t="s">
        <v>569</v>
      </c>
      <c r="K284" s="129">
        <v>2013</v>
      </c>
      <c r="L284" s="121" t="s">
        <v>7499</v>
      </c>
      <c r="M284" s="130" t="s">
        <v>7791</v>
      </c>
    </row>
    <row r="285" spans="1:13" ht="16.2">
      <c r="A285" s="121">
        <v>378</v>
      </c>
      <c r="B285" s="121" t="s">
        <v>571</v>
      </c>
      <c r="C285" s="121" t="s">
        <v>7467</v>
      </c>
      <c r="D285" s="121">
        <v>9781466621466</v>
      </c>
      <c r="E285" s="121">
        <v>9781466621459</v>
      </c>
      <c r="F285" s="121" t="s">
        <v>7400</v>
      </c>
      <c r="G285" s="121">
        <v>1</v>
      </c>
      <c r="H285" s="121" t="s">
        <v>6518</v>
      </c>
      <c r="I285" s="121" t="s">
        <v>103</v>
      </c>
      <c r="J285" s="121" t="s">
        <v>569</v>
      </c>
      <c r="K285" s="129">
        <v>2013</v>
      </c>
      <c r="L285" s="121" t="s">
        <v>7499</v>
      </c>
      <c r="M285" s="130" t="s">
        <v>7792</v>
      </c>
    </row>
    <row r="286" spans="1:13" ht="16.2">
      <c r="A286" s="121">
        <v>380</v>
      </c>
      <c r="B286" s="121" t="s">
        <v>571</v>
      </c>
      <c r="C286" s="121" t="s">
        <v>7471</v>
      </c>
      <c r="D286" s="121">
        <v>9781522541875</v>
      </c>
      <c r="E286" s="121">
        <v>9781522541868</v>
      </c>
      <c r="F286" s="121" t="s">
        <v>7401</v>
      </c>
      <c r="G286" s="121">
        <v>1</v>
      </c>
      <c r="H286" s="121" t="s">
        <v>6518</v>
      </c>
      <c r="I286" s="121" t="s">
        <v>7402</v>
      </c>
      <c r="J286" s="121" t="s">
        <v>1233</v>
      </c>
      <c r="K286" s="129">
        <v>2018</v>
      </c>
      <c r="L286" s="121" t="s">
        <v>7499</v>
      </c>
      <c r="M286" s="130" t="s">
        <v>7793</v>
      </c>
    </row>
    <row r="287" spans="1:13" ht="16.2">
      <c r="A287" s="121">
        <v>381</v>
      </c>
      <c r="B287" s="121" t="s">
        <v>571</v>
      </c>
      <c r="C287" s="121" t="s">
        <v>7471</v>
      </c>
      <c r="D287" s="121">
        <v>9781522560005</v>
      </c>
      <c r="E287" s="121">
        <v>9781522559993</v>
      </c>
      <c r="F287" s="121" t="s">
        <v>7403</v>
      </c>
      <c r="G287" s="121">
        <v>1</v>
      </c>
      <c r="H287" s="121" t="s">
        <v>6518</v>
      </c>
      <c r="I287" s="121" t="s">
        <v>425</v>
      </c>
      <c r="J287" s="121" t="s">
        <v>1233</v>
      </c>
      <c r="K287" s="129">
        <v>2018</v>
      </c>
      <c r="L287" s="121" t="s">
        <v>7499</v>
      </c>
      <c r="M287" s="130" t="s">
        <v>7794</v>
      </c>
    </row>
    <row r="288" spans="1:13" ht="16.2">
      <c r="A288" s="121">
        <v>382</v>
      </c>
      <c r="B288" s="121" t="s">
        <v>571</v>
      </c>
      <c r="C288" s="121" t="s">
        <v>7471</v>
      </c>
      <c r="D288" s="121">
        <v>9781522536147</v>
      </c>
      <c r="E288" s="121">
        <v>9781522536130</v>
      </c>
      <c r="F288" s="121" t="s">
        <v>7404</v>
      </c>
      <c r="G288" s="121">
        <v>1</v>
      </c>
      <c r="H288" s="121" t="s">
        <v>6518</v>
      </c>
      <c r="I288" s="121" t="s">
        <v>7405</v>
      </c>
      <c r="J288" s="121" t="s">
        <v>1233</v>
      </c>
      <c r="K288" s="129">
        <v>2018</v>
      </c>
      <c r="L288" s="121" t="s">
        <v>7499</v>
      </c>
      <c r="M288" s="130" t="s">
        <v>7795</v>
      </c>
    </row>
    <row r="289" spans="1:13" ht="16.2">
      <c r="A289" s="121">
        <v>383</v>
      </c>
      <c r="B289" s="121" t="s">
        <v>571</v>
      </c>
      <c r="C289" s="121" t="s">
        <v>7471</v>
      </c>
      <c r="D289" s="121">
        <v>9781522541066</v>
      </c>
      <c r="E289" s="121">
        <v>9781522541059</v>
      </c>
      <c r="F289" s="121" t="s">
        <v>7406</v>
      </c>
      <c r="G289" s="121">
        <v>1</v>
      </c>
      <c r="H289" s="121" t="s">
        <v>6518</v>
      </c>
      <c r="I289" s="121" t="s">
        <v>7407</v>
      </c>
      <c r="J289" s="121" t="s">
        <v>1233</v>
      </c>
      <c r="K289" s="129">
        <v>2018</v>
      </c>
      <c r="L289" s="121" t="s">
        <v>7499</v>
      </c>
      <c r="M289" s="130" t="s">
        <v>7796</v>
      </c>
    </row>
    <row r="290" spans="1:13" ht="16.2">
      <c r="A290" s="121">
        <v>384</v>
      </c>
      <c r="B290" s="121" t="s">
        <v>571</v>
      </c>
      <c r="C290" s="121" t="s">
        <v>7471</v>
      </c>
      <c r="D290" s="121">
        <v>9781522531777</v>
      </c>
      <c r="E290" s="121">
        <v>9781522531760</v>
      </c>
      <c r="F290" s="121" t="s">
        <v>7408</v>
      </c>
      <c r="G290" s="121">
        <v>1</v>
      </c>
      <c r="H290" s="121" t="s">
        <v>6518</v>
      </c>
      <c r="I290" s="121" t="s">
        <v>7409</v>
      </c>
      <c r="J290" s="121" t="s">
        <v>1233</v>
      </c>
      <c r="K290" s="129">
        <v>2018</v>
      </c>
      <c r="L290" s="121" t="s">
        <v>7499</v>
      </c>
      <c r="M290" s="130" t="s">
        <v>7797</v>
      </c>
    </row>
    <row r="291" spans="1:13" ht="16.2">
      <c r="A291" s="121">
        <v>385</v>
      </c>
      <c r="B291" s="121" t="s">
        <v>571</v>
      </c>
      <c r="C291" s="121" t="s">
        <v>7471</v>
      </c>
      <c r="D291" s="121">
        <v>9781522530800</v>
      </c>
      <c r="E291" s="121">
        <v>9781522530794</v>
      </c>
      <c r="F291" s="121" t="s">
        <v>7410</v>
      </c>
      <c r="G291" s="121">
        <v>1</v>
      </c>
      <c r="H291" s="121" t="s">
        <v>6518</v>
      </c>
      <c r="I291" s="121" t="s">
        <v>7411</v>
      </c>
      <c r="J291" s="121" t="s">
        <v>1233</v>
      </c>
      <c r="K291" s="129">
        <v>2018</v>
      </c>
      <c r="L291" s="121" t="s">
        <v>7499</v>
      </c>
      <c r="M291" s="130" t="s">
        <v>7798</v>
      </c>
    </row>
    <row r="292" spans="1:13" ht="16.2">
      <c r="A292" s="121">
        <v>386</v>
      </c>
      <c r="B292" s="121" t="s">
        <v>571</v>
      </c>
      <c r="C292" s="121" t="s">
        <v>7474</v>
      </c>
      <c r="D292" s="121">
        <v>9781522536840</v>
      </c>
      <c r="E292" s="121">
        <v>9781522536833</v>
      </c>
      <c r="F292" s="121" t="s">
        <v>7412</v>
      </c>
      <c r="G292" s="121">
        <v>1</v>
      </c>
      <c r="H292" s="121" t="s">
        <v>6518</v>
      </c>
      <c r="I292" s="121" t="s">
        <v>7413</v>
      </c>
      <c r="J292" s="121" t="s">
        <v>1233</v>
      </c>
      <c r="K292" s="129">
        <v>2018</v>
      </c>
      <c r="L292" s="121" t="s">
        <v>7499</v>
      </c>
      <c r="M292" s="130" t="s">
        <v>7799</v>
      </c>
    </row>
    <row r="293" spans="1:13" ht="16.2">
      <c r="A293" s="121">
        <v>387</v>
      </c>
      <c r="B293" s="121" t="s">
        <v>571</v>
      </c>
      <c r="C293" s="121" t="s">
        <v>7474</v>
      </c>
      <c r="D293" s="121">
        <v>9781522535386</v>
      </c>
      <c r="E293" s="121">
        <v>9781522535379</v>
      </c>
      <c r="F293" s="121" t="s">
        <v>7414</v>
      </c>
      <c r="G293" s="121">
        <v>1</v>
      </c>
      <c r="H293" s="121" t="s">
        <v>6518</v>
      </c>
      <c r="I293" s="121" t="s">
        <v>7415</v>
      </c>
      <c r="J293" s="121" t="s">
        <v>1233</v>
      </c>
      <c r="K293" s="129">
        <v>2018</v>
      </c>
      <c r="L293" s="121" t="s">
        <v>7499</v>
      </c>
      <c r="M293" s="130" t="s">
        <v>7800</v>
      </c>
    </row>
    <row r="294" spans="1:13" ht="16.2">
      <c r="A294" s="121">
        <v>388</v>
      </c>
      <c r="B294" s="121" t="s">
        <v>571</v>
      </c>
      <c r="C294" s="121" t="s">
        <v>7474</v>
      </c>
      <c r="D294" s="121">
        <v>9781522532712</v>
      </c>
      <c r="E294" s="121">
        <v>9781522532705</v>
      </c>
      <c r="F294" s="121" t="s">
        <v>7416</v>
      </c>
      <c r="G294" s="121">
        <v>1</v>
      </c>
      <c r="H294" s="121" t="s">
        <v>6518</v>
      </c>
      <c r="I294" s="121" t="s">
        <v>7417</v>
      </c>
      <c r="J294" s="121" t="s">
        <v>1233</v>
      </c>
      <c r="K294" s="129">
        <v>2018</v>
      </c>
      <c r="L294" s="121" t="s">
        <v>7499</v>
      </c>
      <c r="M294" s="130" t="s">
        <v>7801</v>
      </c>
    </row>
    <row r="295" spans="1:13" ht="16.2">
      <c r="A295" s="121">
        <v>389</v>
      </c>
      <c r="B295" s="121" t="s">
        <v>571</v>
      </c>
      <c r="C295" s="121" t="s">
        <v>7474</v>
      </c>
      <c r="D295" s="121">
        <v>9781522526377</v>
      </c>
      <c r="E295" s="121">
        <v>9781522526360</v>
      </c>
      <c r="F295" s="121" t="s">
        <v>7418</v>
      </c>
      <c r="G295" s="121">
        <v>1</v>
      </c>
      <c r="H295" s="121" t="s">
        <v>6518</v>
      </c>
      <c r="I295" s="121" t="s">
        <v>7419</v>
      </c>
      <c r="J295" s="121" t="s">
        <v>569</v>
      </c>
      <c r="K295" s="129">
        <v>2018</v>
      </c>
      <c r="L295" s="121" t="s">
        <v>7499</v>
      </c>
      <c r="M295" s="130" t="s">
        <v>7802</v>
      </c>
    </row>
    <row r="296" spans="1:13" ht="16.2">
      <c r="A296" s="121">
        <v>390</v>
      </c>
      <c r="B296" s="121" t="s">
        <v>571</v>
      </c>
      <c r="C296" s="121" t="s">
        <v>7474</v>
      </c>
      <c r="D296" s="121">
        <v>9781522503033</v>
      </c>
      <c r="E296" s="121">
        <v>9781522503026</v>
      </c>
      <c r="F296" s="121" t="s">
        <v>7420</v>
      </c>
      <c r="G296" s="121">
        <v>1</v>
      </c>
      <c r="H296" s="121" t="s">
        <v>6518</v>
      </c>
      <c r="I296" s="121" t="s">
        <v>2069</v>
      </c>
      <c r="J296" s="121" t="s">
        <v>569</v>
      </c>
      <c r="K296" s="129">
        <v>2016</v>
      </c>
      <c r="L296" s="121" t="s">
        <v>7499</v>
      </c>
      <c r="M296" s="130" t="s">
        <v>7803</v>
      </c>
    </row>
    <row r="297" spans="1:13" ht="16.2">
      <c r="A297" s="121">
        <v>391</v>
      </c>
      <c r="B297" s="121" t="s">
        <v>571</v>
      </c>
      <c r="C297" s="121" t="s">
        <v>7474</v>
      </c>
      <c r="D297" s="121">
        <v>9781522503422</v>
      </c>
      <c r="E297" s="121">
        <v>9781522503415</v>
      </c>
      <c r="F297" s="121" t="s">
        <v>7421</v>
      </c>
      <c r="G297" s="121">
        <v>1</v>
      </c>
      <c r="H297" s="121" t="s">
        <v>6518</v>
      </c>
      <c r="I297" s="121" t="s">
        <v>3309</v>
      </c>
      <c r="J297" s="121" t="s">
        <v>569</v>
      </c>
      <c r="K297" s="129">
        <v>2016</v>
      </c>
      <c r="L297" s="121" t="s">
        <v>7499</v>
      </c>
      <c r="M297" s="130" t="s">
        <v>7804</v>
      </c>
    </row>
    <row r="298" spans="1:13" ht="16.2">
      <c r="A298" s="121">
        <v>392</v>
      </c>
      <c r="B298" s="121" t="s">
        <v>571</v>
      </c>
      <c r="C298" s="121" t="s">
        <v>7474</v>
      </c>
      <c r="D298" s="121">
        <v>9781466682832</v>
      </c>
      <c r="E298" s="121">
        <v>9781466682825</v>
      </c>
      <c r="F298" s="121" t="s">
        <v>7422</v>
      </c>
      <c r="G298" s="121">
        <v>1</v>
      </c>
      <c r="H298" s="121" t="s">
        <v>6518</v>
      </c>
      <c r="I298" s="121" t="s">
        <v>7423</v>
      </c>
      <c r="J298" s="121" t="s">
        <v>569</v>
      </c>
      <c r="K298" s="129">
        <v>2015</v>
      </c>
      <c r="L298" s="121" t="s">
        <v>7499</v>
      </c>
      <c r="M298" s="130" t="s">
        <v>7805</v>
      </c>
    </row>
    <row r="299" spans="1:13" ht="16.2">
      <c r="A299" s="121">
        <v>393</v>
      </c>
      <c r="B299" s="121" t="s">
        <v>571</v>
      </c>
      <c r="C299" s="121" t="s">
        <v>7806</v>
      </c>
      <c r="D299" s="121">
        <v>9781522502432</v>
      </c>
      <c r="E299" s="121">
        <v>9781522502425</v>
      </c>
      <c r="F299" s="121" t="s">
        <v>7424</v>
      </c>
      <c r="G299" s="121">
        <v>1</v>
      </c>
      <c r="H299" s="121" t="s">
        <v>6518</v>
      </c>
      <c r="I299" s="121" t="s">
        <v>6540</v>
      </c>
      <c r="J299" s="121" t="s">
        <v>1233</v>
      </c>
      <c r="K299" s="129">
        <v>2016</v>
      </c>
      <c r="L299" s="121" t="s">
        <v>7499</v>
      </c>
      <c r="M299" s="130" t="s">
        <v>7807</v>
      </c>
    </row>
    <row r="300" spans="1:13" ht="16.2">
      <c r="A300" s="121">
        <v>394</v>
      </c>
      <c r="B300" s="121" t="s">
        <v>571</v>
      </c>
      <c r="C300" s="121" t="s">
        <v>7808</v>
      </c>
      <c r="D300" s="121">
        <v>9781522538639</v>
      </c>
      <c r="E300" s="121">
        <v>9781522538622</v>
      </c>
      <c r="F300" s="121" t="s">
        <v>7425</v>
      </c>
      <c r="G300" s="121">
        <v>1</v>
      </c>
      <c r="H300" s="121" t="s">
        <v>6518</v>
      </c>
      <c r="I300" s="121" t="s">
        <v>7426</v>
      </c>
      <c r="J300" s="121" t="s">
        <v>1233</v>
      </c>
      <c r="K300" s="129">
        <v>2018</v>
      </c>
      <c r="L300" s="121" t="s">
        <v>7499</v>
      </c>
      <c r="M300" s="130" t="s">
        <v>7809</v>
      </c>
    </row>
    <row r="301" spans="1:13" ht="16.2">
      <c r="A301" s="121">
        <v>395</v>
      </c>
      <c r="B301" s="121" t="s">
        <v>571</v>
      </c>
      <c r="C301" s="121" t="s">
        <v>7808</v>
      </c>
      <c r="D301" s="121">
        <v>9781522539360</v>
      </c>
      <c r="E301" s="121">
        <v>9781522539353</v>
      </c>
      <c r="F301" s="121" t="s">
        <v>7427</v>
      </c>
      <c r="G301" s="121">
        <v>1</v>
      </c>
      <c r="H301" s="121" t="s">
        <v>6518</v>
      </c>
      <c r="I301" s="121" t="s">
        <v>7428</v>
      </c>
      <c r="J301" s="121" t="s">
        <v>1233</v>
      </c>
      <c r="K301" s="129">
        <v>2018</v>
      </c>
      <c r="L301" s="121" t="s">
        <v>7499</v>
      </c>
      <c r="M301" s="130" t="s">
        <v>7810</v>
      </c>
    </row>
    <row r="302" spans="1:13" ht="16.2">
      <c r="A302" s="121">
        <v>396</v>
      </c>
      <c r="B302" s="121" t="s">
        <v>571</v>
      </c>
      <c r="C302" s="121" t="s">
        <v>7808</v>
      </c>
      <c r="D302" s="121">
        <v>9781522538547</v>
      </c>
      <c r="E302" s="121">
        <v>9781522538530</v>
      </c>
      <c r="F302" s="121" t="s">
        <v>7429</v>
      </c>
      <c r="G302" s="121">
        <v>1</v>
      </c>
      <c r="H302" s="121" t="s">
        <v>6518</v>
      </c>
      <c r="I302" s="121" t="s">
        <v>7430</v>
      </c>
      <c r="J302" s="121" t="s">
        <v>1233</v>
      </c>
      <c r="K302" s="129">
        <v>2018</v>
      </c>
      <c r="L302" s="121" t="s">
        <v>7499</v>
      </c>
      <c r="M302" s="130" t="s">
        <v>7811</v>
      </c>
    </row>
    <row r="303" spans="1:13" ht="16.2">
      <c r="A303" s="121">
        <v>397</v>
      </c>
      <c r="B303" s="121" t="s">
        <v>571</v>
      </c>
      <c r="C303" s="121" t="s">
        <v>7808</v>
      </c>
      <c r="D303" s="121">
        <v>9781522527770</v>
      </c>
      <c r="E303" s="121">
        <v>9781522527763</v>
      </c>
      <c r="F303" s="121" t="s">
        <v>7431</v>
      </c>
      <c r="G303" s="121">
        <v>1</v>
      </c>
      <c r="H303" s="121" t="s">
        <v>6518</v>
      </c>
      <c r="I303" s="121" t="s">
        <v>7432</v>
      </c>
      <c r="J303" s="121" t="s">
        <v>1233</v>
      </c>
      <c r="K303" s="129">
        <v>2018</v>
      </c>
      <c r="L303" s="121" t="s">
        <v>7499</v>
      </c>
      <c r="M303" s="130" t="s">
        <v>7812</v>
      </c>
    </row>
    <row r="304" spans="1:13" ht="16.2">
      <c r="A304" s="121">
        <v>398</v>
      </c>
      <c r="B304" s="121" t="s">
        <v>571</v>
      </c>
      <c r="C304" s="121" t="s">
        <v>7813</v>
      </c>
      <c r="D304" s="121">
        <v>9781522530657</v>
      </c>
      <c r="E304" s="121">
        <v>9781522530640</v>
      </c>
      <c r="F304" s="121" t="s">
        <v>7433</v>
      </c>
      <c r="G304" s="121">
        <v>1</v>
      </c>
      <c r="H304" s="121" t="s">
        <v>6518</v>
      </c>
      <c r="I304" s="121" t="s">
        <v>7434</v>
      </c>
      <c r="J304" s="121" t="s">
        <v>1233</v>
      </c>
      <c r="K304" s="129">
        <v>2018</v>
      </c>
      <c r="L304" s="121" t="s">
        <v>7499</v>
      </c>
      <c r="M304" s="130" t="s">
        <v>7814</v>
      </c>
    </row>
    <row r="305" spans="1:13" ht="16.2">
      <c r="A305" s="121">
        <v>399</v>
      </c>
      <c r="B305" s="121" t="s">
        <v>571</v>
      </c>
      <c r="C305" s="121" t="s">
        <v>7813</v>
      </c>
      <c r="D305" s="121">
        <v>9781466673212</v>
      </c>
      <c r="E305" s="121">
        <v>9781466673205</v>
      </c>
      <c r="F305" s="121" t="s">
        <v>7435</v>
      </c>
      <c r="G305" s="121">
        <v>1</v>
      </c>
      <c r="H305" s="121" t="s">
        <v>6518</v>
      </c>
      <c r="I305" s="121" t="s">
        <v>7168</v>
      </c>
      <c r="J305" s="121" t="s">
        <v>568</v>
      </c>
      <c r="K305" s="129">
        <v>2015</v>
      </c>
      <c r="L305" s="121" t="s">
        <v>7499</v>
      </c>
      <c r="M305" s="130" t="s">
        <v>7815</v>
      </c>
    </row>
    <row r="306" spans="1:13" ht="16.2">
      <c r="A306" s="121">
        <v>4</v>
      </c>
      <c r="B306" s="121" t="s">
        <v>5071</v>
      </c>
      <c r="C306" s="121" t="s">
        <v>7478</v>
      </c>
      <c r="D306" s="121">
        <v>9781522522195</v>
      </c>
      <c r="E306" s="121">
        <v>9781522522188</v>
      </c>
      <c r="F306" s="121" t="s">
        <v>7440</v>
      </c>
      <c r="G306" s="121">
        <v>1</v>
      </c>
      <c r="H306" s="121" t="s">
        <v>6518</v>
      </c>
      <c r="I306" s="121" t="s">
        <v>7441</v>
      </c>
      <c r="J306" s="121" t="s">
        <v>569</v>
      </c>
      <c r="K306" s="129">
        <v>2017</v>
      </c>
      <c r="L306" s="121" t="s">
        <v>7499</v>
      </c>
      <c r="M306" s="130" t="s">
        <v>7816</v>
      </c>
    </row>
    <row r="307" spans="1:13" ht="16.2">
      <c r="A307" s="121">
        <v>9</v>
      </c>
      <c r="B307" s="121" t="s">
        <v>5071</v>
      </c>
      <c r="C307" s="121" t="s">
        <v>7478</v>
      </c>
      <c r="D307" s="121">
        <v>9781522517542</v>
      </c>
      <c r="E307" s="121">
        <v>9781522517535</v>
      </c>
      <c r="F307" s="121" t="s">
        <v>7448</v>
      </c>
      <c r="G307" s="121">
        <v>1</v>
      </c>
      <c r="H307" s="121" t="s">
        <v>6518</v>
      </c>
      <c r="I307" s="121" t="s">
        <v>7449</v>
      </c>
      <c r="J307" s="121" t="s">
        <v>569</v>
      </c>
      <c r="K307" s="129">
        <v>2017</v>
      </c>
      <c r="L307" s="121" t="s">
        <v>7499</v>
      </c>
      <c r="M307" s="130" t="s">
        <v>7817</v>
      </c>
    </row>
    <row r="308" spans="1:13" ht="16.2">
      <c r="A308" s="121">
        <v>5</v>
      </c>
      <c r="B308" s="121" t="s">
        <v>5071</v>
      </c>
      <c r="C308" s="121" t="s">
        <v>7486</v>
      </c>
      <c r="D308" s="121">
        <v>9781522502807</v>
      </c>
      <c r="E308" s="121">
        <v>9781522502791</v>
      </c>
      <c r="F308" s="121" t="s">
        <v>7442</v>
      </c>
      <c r="G308" s="121">
        <v>1</v>
      </c>
      <c r="H308" s="121" t="s">
        <v>6518</v>
      </c>
      <c r="I308" s="121" t="s">
        <v>7443</v>
      </c>
      <c r="J308" s="121" t="s">
        <v>569</v>
      </c>
      <c r="K308" s="129">
        <v>2016</v>
      </c>
      <c r="L308" s="121" t="s">
        <v>7499</v>
      </c>
      <c r="M308" s="130" t="s">
        <v>7818</v>
      </c>
    </row>
    <row r="309" spans="1:13" ht="16.2">
      <c r="A309" s="121">
        <v>3</v>
      </c>
      <c r="B309" s="121" t="s">
        <v>5071</v>
      </c>
      <c r="C309" s="121" t="s">
        <v>7491</v>
      </c>
      <c r="D309" s="121">
        <v>9781522519607</v>
      </c>
      <c r="E309" s="121">
        <v>9781522518860</v>
      </c>
      <c r="F309" s="121" t="s">
        <v>7439</v>
      </c>
      <c r="G309" s="121">
        <v>1</v>
      </c>
      <c r="H309" s="121" t="s">
        <v>6518</v>
      </c>
      <c r="I309" s="121" t="s">
        <v>943</v>
      </c>
      <c r="J309" s="121" t="s">
        <v>568</v>
      </c>
      <c r="K309" s="129">
        <v>2017</v>
      </c>
      <c r="L309" s="121" t="s">
        <v>7499</v>
      </c>
      <c r="M309" s="130" t="s">
        <v>7819</v>
      </c>
    </row>
    <row r="310" spans="1:13" ht="16.2">
      <c r="A310" s="121">
        <v>6</v>
      </c>
      <c r="B310" s="121" t="s">
        <v>5071</v>
      </c>
      <c r="C310" s="121" t="s">
        <v>7491</v>
      </c>
      <c r="D310" s="121">
        <v>9781522519669</v>
      </c>
      <c r="E310" s="121">
        <v>9781522519652</v>
      </c>
      <c r="F310" s="121" t="s">
        <v>7444</v>
      </c>
      <c r="G310" s="121">
        <v>1</v>
      </c>
      <c r="H310" s="121" t="s">
        <v>6518</v>
      </c>
      <c r="I310" s="121" t="s">
        <v>7445</v>
      </c>
      <c r="J310" s="121" t="s">
        <v>568</v>
      </c>
      <c r="K310" s="129">
        <v>2017</v>
      </c>
      <c r="L310" s="121" t="s">
        <v>7499</v>
      </c>
      <c r="M310" s="130" t="s">
        <v>7820</v>
      </c>
    </row>
    <row r="311" spans="1:13" ht="16.2">
      <c r="A311" s="121">
        <v>7</v>
      </c>
      <c r="B311" s="121" t="s">
        <v>5071</v>
      </c>
      <c r="C311" s="121" t="s">
        <v>7491</v>
      </c>
      <c r="D311" s="121">
        <v>9781522510147</v>
      </c>
      <c r="E311" s="121">
        <v>9781522510130</v>
      </c>
      <c r="F311" s="121" t="s">
        <v>7446</v>
      </c>
      <c r="G311" s="121">
        <v>1</v>
      </c>
      <c r="H311" s="121" t="s">
        <v>6518</v>
      </c>
      <c r="I311" s="121" t="s">
        <v>7132</v>
      </c>
      <c r="J311" s="121" t="s">
        <v>568</v>
      </c>
      <c r="K311" s="129">
        <v>2017</v>
      </c>
      <c r="L311" s="121" t="s">
        <v>7499</v>
      </c>
      <c r="M311" s="130" t="s">
        <v>7821</v>
      </c>
    </row>
    <row r="312" spans="1:13" ht="16.2">
      <c r="A312" s="121">
        <v>10</v>
      </c>
      <c r="B312" s="121" t="s">
        <v>5071</v>
      </c>
      <c r="C312" s="121" t="s">
        <v>7491</v>
      </c>
      <c r="D312" s="121">
        <v>9781522535935</v>
      </c>
      <c r="E312" s="121">
        <v>9781522523710</v>
      </c>
      <c r="F312" s="121" t="s">
        <v>7450</v>
      </c>
      <c r="G312" s="121">
        <v>1</v>
      </c>
      <c r="H312" s="121" t="s">
        <v>6518</v>
      </c>
      <c r="I312" s="121" t="s">
        <v>7451</v>
      </c>
      <c r="J312" s="121" t="s">
        <v>568</v>
      </c>
      <c r="K312" s="129">
        <v>2017</v>
      </c>
      <c r="L312" s="121" t="s">
        <v>7499</v>
      </c>
      <c r="M312" s="130" t="s">
        <v>7822</v>
      </c>
    </row>
    <row r="313" spans="1:13" ht="16.2">
      <c r="A313" s="121">
        <v>2</v>
      </c>
      <c r="B313" s="121" t="s">
        <v>5071</v>
      </c>
      <c r="C313" s="121" t="s">
        <v>7491</v>
      </c>
      <c r="D313" s="121">
        <v>9781466688216</v>
      </c>
      <c r="E313" s="121">
        <v>9781466688209</v>
      </c>
      <c r="F313" s="121" t="s">
        <v>7438</v>
      </c>
      <c r="G313" s="121">
        <v>1</v>
      </c>
      <c r="H313" s="121" t="s">
        <v>6518</v>
      </c>
      <c r="I313" s="121" t="s">
        <v>6996</v>
      </c>
      <c r="J313" s="121" t="s">
        <v>568</v>
      </c>
      <c r="K313" s="129">
        <v>2016</v>
      </c>
      <c r="L313" s="121" t="s">
        <v>7499</v>
      </c>
      <c r="M313" s="130" t="s">
        <v>7823</v>
      </c>
    </row>
    <row r="314" spans="1:13" ht="16.2">
      <c r="A314" s="121">
        <v>8</v>
      </c>
      <c r="B314" s="121" t="s">
        <v>5071</v>
      </c>
      <c r="C314" s="121" t="s">
        <v>7491</v>
      </c>
      <c r="D314" s="121">
        <v>9781522503064</v>
      </c>
      <c r="E314" s="121">
        <v>9781522503057</v>
      </c>
      <c r="F314" s="121" t="s">
        <v>7447</v>
      </c>
      <c r="G314" s="121">
        <v>1</v>
      </c>
      <c r="H314" s="121" t="s">
        <v>6518</v>
      </c>
      <c r="I314" s="121" t="s">
        <v>6998</v>
      </c>
      <c r="J314" s="121" t="s">
        <v>568</v>
      </c>
      <c r="K314" s="129">
        <v>2016</v>
      </c>
      <c r="L314" s="121" t="s">
        <v>7499</v>
      </c>
      <c r="M314" s="130" t="s">
        <v>7824</v>
      </c>
    </row>
    <row r="315" spans="1:13" ht="16.2">
      <c r="A315" s="121">
        <v>1</v>
      </c>
      <c r="B315" s="121" t="s">
        <v>5071</v>
      </c>
      <c r="C315" s="121" t="s">
        <v>7491</v>
      </c>
      <c r="D315" s="121">
        <v>9781466659872</v>
      </c>
      <c r="E315" s="121">
        <v>9781466659865</v>
      </c>
      <c r="F315" s="121" t="s">
        <v>7436</v>
      </c>
      <c r="G315" s="121">
        <v>1</v>
      </c>
      <c r="H315" s="121" t="s">
        <v>6518</v>
      </c>
      <c r="I315" s="121" t="s">
        <v>7437</v>
      </c>
      <c r="J315" s="121" t="s">
        <v>568</v>
      </c>
      <c r="K315" s="129">
        <v>2014</v>
      </c>
      <c r="L315" s="121" t="s">
        <v>7499</v>
      </c>
      <c r="M315" s="130" t="s">
        <v>7825</v>
      </c>
    </row>
  </sheetData>
  <phoneticPr fontId="3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41"/>
  <sheetViews>
    <sheetView topLeftCell="C1" workbookViewId="0">
      <selection activeCell="F17" sqref="F17"/>
    </sheetView>
  </sheetViews>
  <sheetFormatPr defaultColWidth="8.88671875" defaultRowHeight="16.350000000000001" customHeight="1"/>
  <cols>
    <col min="1" max="1" width="4.44140625" style="140" hidden="1" customWidth="1"/>
    <col min="2" max="2" width="6.77734375" style="36" hidden="1" customWidth="1"/>
    <col min="3" max="3" width="30.109375" style="36" customWidth="1"/>
    <col min="4" max="5" width="12.21875" style="140" hidden="1" customWidth="1"/>
    <col min="6" max="6" width="77.109375" style="145" customWidth="1"/>
    <col min="7" max="8" width="4.44140625" style="140" hidden="1" customWidth="1"/>
    <col min="9" max="9" width="25.77734375" style="36" customWidth="1"/>
    <col min="10" max="10" width="8.21875" style="36" hidden="1" customWidth="1"/>
    <col min="11" max="11" width="8.77734375" style="140" customWidth="1"/>
    <col min="12" max="12" width="17.6640625" style="140" hidden="1" customWidth="1"/>
    <col min="13" max="13" width="7.109375" style="143" hidden="1" customWidth="1"/>
    <col min="14" max="14" width="84.33203125" style="146" bestFit="1" customWidth="1"/>
    <col min="15" max="19" width="8.88671875" style="143"/>
    <col min="20" max="256" width="8.88671875" style="34"/>
    <col min="257" max="257" width="4.44140625" style="34" customWidth="1"/>
    <col min="258" max="258" width="6.77734375" style="34" customWidth="1"/>
    <col min="259" max="259" width="11" style="34" customWidth="1"/>
    <col min="260" max="261" width="12.21875" style="34" customWidth="1"/>
    <col min="262" max="262" width="43.44140625" style="34" customWidth="1"/>
    <col min="263" max="264" width="4.44140625" style="34" customWidth="1"/>
    <col min="265" max="265" width="10.77734375" style="34" customWidth="1"/>
    <col min="266" max="266" width="8.21875" style="34" customWidth="1"/>
    <col min="267" max="267" width="6.33203125" style="34" customWidth="1"/>
    <col min="268" max="268" width="9.44140625" style="34" customWidth="1"/>
    <col min="269" max="269" width="7.21875" style="34" customWidth="1"/>
    <col min="270" max="270" width="25.21875" style="34" customWidth="1"/>
    <col min="271" max="512" width="8.88671875" style="34"/>
    <col min="513" max="513" width="4.44140625" style="34" customWidth="1"/>
    <col min="514" max="514" width="6.77734375" style="34" customWidth="1"/>
    <col min="515" max="515" width="11" style="34" customWidth="1"/>
    <col min="516" max="517" width="12.21875" style="34" customWidth="1"/>
    <col min="518" max="518" width="43.44140625" style="34" customWidth="1"/>
    <col min="519" max="520" width="4.44140625" style="34" customWidth="1"/>
    <col min="521" max="521" width="10.77734375" style="34" customWidth="1"/>
    <col min="522" max="522" width="8.21875" style="34" customWidth="1"/>
    <col min="523" max="523" width="6.33203125" style="34" customWidth="1"/>
    <col min="524" max="524" width="9.44140625" style="34" customWidth="1"/>
    <col min="525" max="525" width="7.21875" style="34" customWidth="1"/>
    <col min="526" max="526" width="25.21875" style="34" customWidth="1"/>
    <col min="527" max="768" width="8.88671875" style="34"/>
    <col min="769" max="769" width="4.44140625" style="34" customWidth="1"/>
    <col min="770" max="770" width="6.77734375" style="34" customWidth="1"/>
    <col min="771" max="771" width="11" style="34" customWidth="1"/>
    <col min="772" max="773" width="12.21875" style="34" customWidth="1"/>
    <col min="774" max="774" width="43.44140625" style="34" customWidth="1"/>
    <col min="775" max="776" width="4.44140625" style="34" customWidth="1"/>
    <col min="777" max="777" width="10.77734375" style="34" customWidth="1"/>
    <col min="778" max="778" width="8.21875" style="34" customWidth="1"/>
    <col min="779" max="779" width="6.33203125" style="34" customWidth="1"/>
    <col min="780" max="780" width="9.44140625" style="34" customWidth="1"/>
    <col min="781" max="781" width="7.21875" style="34" customWidth="1"/>
    <col min="782" max="782" width="25.21875" style="34" customWidth="1"/>
    <col min="783" max="1024" width="8.88671875" style="34"/>
    <col min="1025" max="1025" width="4.44140625" style="34" customWidth="1"/>
    <col min="1026" max="1026" width="6.77734375" style="34" customWidth="1"/>
    <col min="1027" max="1027" width="11" style="34" customWidth="1"/>
    <col min="1028" max="1029" width="12.21875" style="34" customWidth="1"/>
    <col min="1030" max="1030" width="43.44140625" style="34" customWidth="1"/>
    <col min="1031" max="1032" width="4.44140625" style="34" customWidth="1"/>
    <col min="1033" max="1033" width="10.77734375" style="34" customWidth="1"/>
    <col min="1034" max="1034" width="8.21875" style="34" customWidth="1"/>
    <col min="1035" max="1035" width="6.33203125" style="34" customWidth="1"/>
    <col min="1036" max="1036" width="9.44140625" style="34" customWidth="1"/>
    <col min="1037" max="1037" width="7.21875" style="34" customWidth="1"/>
    <col min="1038" max="1038" width="25.21875" style="34" customWidth="1"/>
    <col min="1039" max="1280" width="8.88671875" style="34"/>
    <col min="1281" max="1281" width="4.44140625" style="34" customWidth="1"/>
    <col min="1282" max="1282" width="6.77734375" style="34" customWidth="1"/>
    <col min="1283" max="1283" width="11" style="34" customWidth="1"/>
    <col min="1284" max="1285" width="12.21875" style="34" customWidth="1"/>
    <col min="1286" max="1286" width="43.44140625" style="34" customWidth="1"/>
    <col min="1287" max="1288" width="4.44140625" style="34" customWidth="1"/>
    <col min="1289" max="1289" width="10.77734375" style="34" customWidth="1"/>
    <col min="1290" max="1290" width="8.21875" style="34" customWidth="1"/>
    <col min="1291" max="1291" width="6.33203125" style="34" customWidth="1"/>
    <col min="1292" max="1292" width="9.44140625" style="34" customWidth="1"/>
    <col min="1293" max="1293" width="7.21875" style="34" customWidth="1"/>
    <col min="1294" max="1294" width="25.21875" style="34" customWidth="1"/>
    <col min="1295" max="1536" width="8.88671875" style="34"/>
    <col min="1537" max="1537" width="4.44140625" style="34" customWidth="1"/>
    <col min="1538" max="1538" width="6.77734375" style="34" customWidth="1"/>
    <col min="1539" max="1539" width="11" style="34" customWidth="1"/>
    <col min="1540" max="1541" width="12.21875" style="34" customWidth="1"/>
    <col min="1542" max="1542" width="43.44140625" style="34" customWidth="1"/>
    <col min="1543" max="1544" width="4.44140625" style="34" customWidth="1"/>
    <col min="1545" max="1545" width="10.77734375" style="34" customWidth="1"/>
    <col min="1546" max="1546" width="8.21875" style="34" customWidth="1"/>
    <col min="1547" max="1547" width="6.33203125" style="34" customWidth="1"/>
    <col min="1548" max="1548" width="9.44140625" style="34" customWidth="1"/>
    <col min="1549" max="1549" width="7.21875" style="34" customWidth="1"/>
    <col min="1550" max="1550" width="25.21875" style="34" customWidth="1"/>
    <col min="1551" max="1792" width="8.88671875" style="34"/>
    <col min="1793" max="1793" width="4.44140625" style="34" customWidth="1"/>
    <col min="1794" max="1794" width="6.77734375" style="34" customWidth="1"/>
    <col min="1795" max="1795" width="11" style="34" customWidth="1"/>
    <col min="1796" max="1797" width="12.21875" style="34" customWidth="1"/>
    <col min="1798" max="1798" width="43.44140625" style="34" customWidth="1"/>
    <col min="1799" max="1800" width="4.44140625" style="34" customWidth="1"/>
    <col min="1801" max="1801" width="10.77734375" style="34" customWidth="1"/>
    <col min="1802" max="1802" width="8.21875" style="34" customWidth="1"/>
    <col min="1803" max="1803" width="6.33203125" style="34" customWidth="1"/>
    <col min="1804" max="1804" width="9.44140625" style="34" customWidth="1"/>
    <col min="1805" max="1805" width="7.21875" style="34" customWidth="1"/>
    <col min="1806" max="1806" width="25.21875" style="34" customWidth="1"/>
    <col min="1807" max="2048" width="8.88671875" style="34"/>
    <col min="2049" max="2049" width="4.44140625" style="34" customWidth="1"/>
    <col min="2050" max="2050" width="6.77734375" style="34" customWidth="1"/>
    <col min="2051" max="2051" width="11" style="34" customWidth="1"/>
    <col min="2052" max="2053" width="12.21875" style="34" customWidth="1"/>
    <col min="2054" max="2054" width="43.44140625" style="34" customWidth="1"/>
    <col min="2055" max="2056" width="4.44140625" style="34" customWidth="1"/>
    <col min="2057" max="2057" width="10.77734375" style="34" customWidth="1"/>
    <col min="2058" max="2058" width="8.21875" style="34" customWidth="1"/>
    <col min="2059" max="2059" width="6.33203125" style="34" customWidth="1"/>
    <col min="2060" max="2060" width="9.44140625" style="34" customWidth="1"/>
    <col min="2061" max="2061" width="7.21875" style="34" customWidth="1"/>
    <col min="2062" max="2062" width="25.21875" style="34" customWidth="1"/>
    <col min="2063" max="2304" width="8.88671875" style="34"/>
    <col min="2305" max="2305" width="4.44140625" style="34" customWidth="1"/>
    <col min="2306" max="2306" width="6.77734375" style="34" customWidth="1"/>
    <col min="2307" max="2307" width="11" style="34" customWidth="1"/>
    <col min="2308" max="2309" width="12.21875" style="34" customWidth="1"/>
    <col min="2310" max="2310" width="43.44140625" style="34" customWidth="1"/>
    <col min="2311" max="2312" width="4.44140625" style="34" customWidth="1"/>
    <col min="2313" max="2313" width="10.77734375" style="34" customWidth="1"/>
    <col min="2314" max="2314" width="8.21875" style="34" customWidth="1"/>
    <col min="2315" max="2315" width="6.33203125" style="34" customWidth="1"/>
    <col min="2316" max="2316" width="9.44140625" style="34" customWidth="1"/>
    <col min="2317" max="2317" width="7.21875" style="34" customWidth="1"/>
    <col min="2318" max="2318" width="25.21875" style="34" customWidth="1"/>
    <col min="2319" max="2560" width="8.88671875" style="34"/>
    <col min="2561" max="2561" width="4.44140625" style="34" customWidth="1"/>
    <col min="2562" max="2562" width="6.77734375" style="34" customWidth="1"/>
    <col min="2563" max="2563" width="11" style="34" customWidth="1"/>
    <col min="2564" max="2565" width="12.21875" style="34" customWidth="1"/>
    <col min="2566" max="2566" width="43.44140625" style="34" customWidth="1"/>
    <col min="2567" max="2568" width="4.44140625" style="34" customWidth="1"/>
    <col min="2569" max="2569" width="10.77734375" style="34" customWidth="1"/>
    <col min="2570" max="2570" width="8.21875" style="34" customWidth="1"/>
    <col min="2571" max="2571" width="6.33203125" style="34" customWidth="1"/>
    <col min="2572" max="2572" width="9.44140625" style="34" customWidth="1"/>
    <col min="2573" max="2573" width="7.21875" style="34" customWidth="1"/>
    <col min="2574" max="2574" width="25.21875" style="34" customWidth="1"/>
    <col min="2575" max="2816" width="8.88671875" style="34"/>
    <col min="2817" max="2817" width="4.44140625" style="34" customWidth="1"/>
    <col min="2818" max="2818" width="6.77734375" style="34" customWidth="1"/>
    <col min="2819" max="2819" width="11" style="34" customWidth="1"/>
    <col min="2820" max="2821" width="12.21875" style="34" customWidth="1"/>
    <col min="2822" max="2822" width="43.44140625" style="34" customWidth="1"/>
    <col min="2823" max="2824" width="4.44140625" style="34" customWidth="1"/>
    <col min="2825" max="2825" width="10.77734375" style="34" customWidth="1"/>
    <col min="2826" max="2826" width="8.21875" style="34" customWidth="1"/>
    <col min="2827" max="2827" width="6.33203125" style="34" customWidth="1"/>
    <col min="2828" max="2828" width="9.44140625" style="34" customWidth="1"/>
    <col min="2829" max="2829" width="7.21875" style="34" customWidth="1"/>
    <col min="2830" max="2830" width="25.21875" style="34" customWidth="1"/>
    <col min="2831" max="3072" width="8.88671875" style="34"/>
    <col min="3073" max="3073" width="4.44140625" style="34" customWidth="1"/>
    <col min="3074" max="3074" width="6.77734375" style="34" customWidth="1"/>
    <col min="3075" max="3075" width="11" style="34" customWidth="1"/>
    <col min="3076" max="3077" width="12.21875" style="34" customWidth="1"/>
    <col min="3078" max="3078" width="43.44140625" style="34" customWidth="1"/>
    <col min="3079" max="3080" width="4.44140625" style="34" customWidth="1"/>
    <col min="3081" max="3081" width="10.77734375" style="34" customWidth="1"/>
    <col min="3082" max="3082" width="8.21875" style="34" customWidth="1"/>
    <col min="3083" max="3083" width="6.33203125" style="34" customWidth="1"/>
    <col min="3084" max="3084" width="9.44140625" style="34" customWidth="1"/>
    <col min="3085" max="3085" width="7.21875" style="34" customWidth="1"/>
    <col min="3086" max="3086" width="25.21875" style="34" customWidth="1"/>
    <col min="3087" max="3328" width="8.88671875" style="34"/>
    <col min="3329" max="3329" width="4.44140625" style="34" customWidth="1"/>
    <col min="3330" max="3330" width="6.77734375" style="34" customWidth="1"/>
    <col min="3331" max="3331" width="11" style="34" customWidth="1"/>
    <col min="3332" max="3333" width="12.21875" style="34" customWidth="1"/>
    <col min="3334" max="3334" width="43.44140625" style="34" customWidth="1"/>
    <col min="3335" max="3336" width="4.44140625" style="34" customWidth="1"/>
    <col min="3337" max="3337" width="10.77734375" style="34" customWidth="1"/>
    <col min="3338" max="3338" width="8.21875" style="34" customWidth="1"/>
    <col min="3339" max="3339" width="6.33203125" style="34" customWidth="1"/>
    <col min="3340" max="3340" width="9.44140625" style="34" customWidth="1"/>
    <col min="3341" max="3341" width="7.21875" style="34" customWidth="1"/>
    <col min="3342" max="3342" width="25.21875" style="34" customWidth="1"/>
    <col min="3343" max="3584" width="8.88671875" style="34"/>
    <col min="3585" max="3585" width="4.44140625" style="34" customWidth="1"/>
    <col min="3586" max="3586" width="6.77734375" style="34" customWidth="1"/>
    <col min="3587" max="3587" width="11" style="34" customWidth="1"/>
    <col min="3588" max="3589" width="12.21875" style="34" customWidth="1"/>
    <col min="3590" max="3590" width="43.44140625" style="34" customWidth="1"/>
    <col min="3591" max="3592" width="4.44140625" style="34" customWidth="1"/>
    <col min="3593" max="3593" width="10.77734375" style="34" customWidth="1"/>
    <col min="3594" max="3594" width="8.21875" style="34" customWidth="1"/>
    <col min="3595" max="3595" width="6.33203125" style="34" customWidth="1"/>
    <col min="3596" max="3596" width="9.44140625" style="34" customWidth="1"/>
    <col min="3597" max="3597" width="7.21875" style="34" customWidth="1"/>
    <col min="3598" max="3598" width="25.21875" style="34" customWidth="1"/>
    <col min="3599" max="3840" width="8.88671875" style="34"/>
    <col min="3841" max="3841" width="4.44140625" style="34" customWidth="1"/>
    <col min="3842" max="3842" width="6.77734375" style="34" customWidth="1"/>
    <col min="3843" max="3843" width="11" style="34" customWidth="1"/>
    <col min="3844" max="3845" width="12.21875" style="34" customWidth="1"/>
    <col min="3846" max="3846" width="43.44140625" style="34" customWidth="1"/>
    <col min="3847" max="3848" width="4.44140625" style="34" customWidth="1"/>
    <col min="3849" max="3849" width="10.77734375" style="34" customWidth="1"/>
    <col min="3850" max="3850" width="8.21875" style="34" customWidth="1"/>
    <col min="3851" max="3851" width="6.33203125" style="34" customWidth="1"/>
    <col min="3852" max="3852" width="9.44140625" style="34" customWidth="1"/>
    <col min="3853" max="3853" width="7.21875" style="34" customWidth="1"/>
    <col min="3854" max="3854" width="25.21875" style="34" customWidth="1"/>
    <col min="3855" max="4096" width="8.88671875" style="34"/>
    <col min="4097" max="4097" width="4.44140625" style="34" customWidth="1"/>
    <col min="4098" max="4098" width="6.77734375" style="34" customWidth="1"/>
    <col min="4099" max="4099" width="11" style="34" customWidth="1"/>
    <col min="4100" max="4101" width="12.21875" style="34" customWidth="1"/>
    <col min="4102" max="4102" width="43.44140625" style="34" customWidth="1"/>
    <col min="4103" max="4104" width="4.44140625" style="34" customWidth="1"/>
    <col min="4105" max="4105" width="10.77734375" style="34" customWidth="1"/>
    <col min="4106" max="4106" width="8.21875" style="34" customWidth="1"/>
    <col min="4107" max="4107" width="6.33203125" style="34" customWidth="1"/>
    <col min="4108" max="4108" width="9.44140625" style="34" customWidth="1"/>
    <col min="4109" max="4109" width="7.21875" style="34" customWidth="1"/>
    <col min="4110" max="4110" width="25.21875" style="34" customWidth="1"/>
    <col min="4111" max="4352" width="8.88671875" style="34"/>
    <col min="4353" max="4353" width="4.44140625" style="34" customWidth="1"/>
    <col min="4354" max="4354" width="6.77734375" style="34" customWidth="1"/>
    <col min="4355" max="4355" width="11" style="34" customWidth="1"/>
    <col min="4356" max="4357" width="12.21875" style="34" customWidth="1"/>
    <col min="4358" max="4358" width="43.44140625" style="34" customWidth="1"/>
    <col min="4359" max="4360" width="4.44140625" style="34" customWidth="1"/>
    <col min="4361" max="4361" width="10.77734375" style="34" customWidth="1"/>
    <col min="4362" max="4362" width="8.21875" style="34" customWidth="1"/>
    <col min="4363" max="4363" width="6.33203125" style="34" customWidth="1"/>
    <col min="4364" max="4364" width="9.44140625" style="34" customWidth="1"/>
    <col min="4365" max="4365" width="7.21875" style="34" customWidth="1"/>
    <col min="4366" max="4366" width="25.21875" style="34" customWidth="1"/>
    <col min="4367" max="4608" width="8.88671875" style="34"/>
    <col min="4609" max="4609" width="4.44140625" style="34" customWidth="1"/>
    <col min="4610" max="4610" width="6.77734375" style="34" customWidth="1"/>
    <col min="4611" max="4611" width="11" style="34" customWidth="1"/>
    <col min="4612" max="4613" width="12.21875" style="34" customWidth="1"/>
    <col min="4614" max="4614" width="43.44140625" style="34" customWidth="1"/>
    <col min="4615" max="4616" width="4.44140625" style="34" customWidth="1"/>
    <col min="4617" max="4617" width="10.77734375" style="34" customWidth="1"/>
    <col min="4618" max="4618" width="8.21875" style="34" customWidth="1"/>
    <col min="4619" max="4619" width="6.33203125" style="34" customWidth="1"/>
    <col min="4620" max="4620" width="9.44140625" style="34" customWidth="1"/>
    <col min="4621" max="4621" width="7.21875" style="34" customWidth="1"/>
    <col min="4622" max="4622" width="25.21875" style="34" customWidth="1"/>
    <col min="4623" max="4864" width="8.88671875" style="34"/>
    <col min="4865" max="4865" width="4.44140625" style="34" customWidth="1"/>
    <col min="4866" max="4866" width="6.77734375" style="34" customWidth="1"/>
    <col min="4867" max="4867" width="11" style="34" customWidth="1"/>
    <col min="4868" max="4869" width="12.21875" style="34" customWidth="1"/>
    <col min="4870" max="4870" width="43.44140625" style="34" customWidth="1"/>
    <col min="4871" max="4872" width="4.44140625" style="34" customWidth="1"/>
    <col min="4873" max="4873" width="10.77734375" style="34" customWidth="1"/>
    <col min="4874" max="4874" width="8.21875" style="34" customWidth="1"/>
    <col min="4875" max="4875" width="6.33203125" style="34" customWidth="1"/>
    <col min="4876" max="4876" width="9.44140625" style="34" customWidth="1"/>
    <col min="4877" max="4877" width="7.21875" style="34" customWidth="1"/>
    <col min="4878" max="4878" width="25.21875" style="34" customWidth="1"/>
    <col min="4879" max="5120" width="8.88671875" style="34"/>
    <col min="5121" max="5121" width="4.44140625" style="34" customWidth="1"/>
    <col min="5122" max="5122" width="6.77734375" style="34" customWidth="1"/>
    <col min="5123" max="5123" width="11" style="34" customWidth="1"/>
    <col min="5124" max="5125" width="12.21875" style="34" customWidth="1"/>
    <col min="5126" max="5126" width="43.44140625" style="34" customWidth="1"/>
    <col min="5127" max="5128" width="4.44140625" style="34" customWidth="1"/>
    <col min="5129" max="5129" width="10.77734375" style="34" customWidth="1"/>
    <col min="5130" max="5130" width="8.21875" style="34" customWidth="1"/>
    <col min="5131" max="5131" width="6.33203125" style="34" customWidth="1"/>
    <col min="5132" max="5132" width="9.44140625" style="34" customWidth="1"/>
    <col min="5133" max="5133" width="7.21875" style="34" customWidth="1"/>
    <col min="5134" max="5134" width="25.21875" style="34" customWidth="1"/>
    <col min="5135" max="5376" width="8.88671875" style="34"/>
    <col min="5377" max="5377" width="4.44140625" style="34" customWidth="1"/>
    <col min="5378" max="5378" width="6.77734375" style="34" customWidth="1"/>
    <col min="5379" max="5379" width="11" style="34" customWidth="1"/>
    <col min="5380" max="5381" width="12.21875" style="34" customWidth="1"/>
    <col min="5382" max="5382" width="43.44140625" style="34" customWidth="1"/>
    <col min="5383" max="5384" width="4.44140625" style="34" customWidth="1"/>
    <col min="5385" max="5385" width="10.77734375" style="34" customWidth="1"/>
    <col min="5386" max="5386" width="8.21875" style="34" customWidth="1"/>
    <col min="5387" max="5387" width="6.33203125" style="34" customWidth="1"/>
    <col min="5388" max="5388" width="9.44140625" style="34" customWidth="1"/>
    <col min="5389" max="5389" width="7.21875" style="34" customWidth="1"/>
    <col min="5390" max="5390" width="25.21875" style="34" customWidth="1"/>
    <col min="5391" max="5632" width="8.88671875" style="34"/>
    <col min="5633" max="5633" width="4.44140625" style="34" customWidth="1"/>
    <col min="5634" max="5634" width="6.77734375" style="34" customWidth="1"/>
    <col min="5635" max="5635" width="11" style="34" customWidth="1"/>
    <col min="5636" max="5637" width="12.21875" style="34" customWidth="1"/>
    <col min="5638" max="5638" width="43.44140625" style="34" customWidth="1"/>
    <col min="5639" max="5640" width="4.44140625" style="34" customWidth="1"/>
    <col min="5641" max="5641" width="10.77734375" style="34" customWidth="1"/>
    <col min="5642" max="5642" width="8.21875" style="34" customWidth="1"/>
    <col min="5643" max="5643" width="6.33203125" style="34" customWidth="1"/>
    <col min="5644" max="5644" width="9.44140625" style="34" customWidth="1"/>
    <col min="5645" max="5645" width="7.21875" style="34" customWidth="1"/>
    <col min="5646" max="5646" width="25.21875" style="34" customWidth="1"/>
    <col min="5647" max="5888" width="8.88671875" style="34"/>
    <col min="5889" max="5889" width="4.44140625" style="34" customWidth="1"/>
    <col min="5890" max="5890" width="6.77734375" style="34" customWidth="1"/>
    <col min="5891" max="5891" width="11" style="34" customWidth="1"/>
    <col min="5892" max="5893" width="12.21875" style="34" customWidth="1"/>
    <col min="5894" max="5894" width="43.44140625" style="34" customWidth="1"/>
    <col min="5895" max="5896" width="4.44140625" style="34" customWidth="1"/>
    <col min="5897" max="5897" width="10.77734375" style="34" customWidth="1"/>
    <col min="5898" max="5898" width="8.21875" style="34" customWidth="1"/>
    <col min="5899" max="5899" width="6.33203125" style="34" customWidth="1"/>
    <col min="5900" max="5900" width="9.44140625" style="34" customWidth="1"/>
    <col min="5901" max="5901" width="7.21875" style="34" customWidth="1"/>
    <col min="5902" max="5902" width="25.21875" style="34" customWidth="1"/>
    <col min="5903" max="6144" width="8.88671875" style="34"/>
    <col min="6145" max="6145" width="4.44140625" style="34" customWidth="1"/>
    <col min="6146" max="6146" width="6.77734375" style="34" customWidth="1"/>
    <col min="6147" max="6147" width="11" style="34" customWidth="1"/>
    <col min="6148" max="6149" width="12.21875" style="34" customWidth="1"/>
    <col min="6150" max="6150" width="43.44140625" style="34" customWidth="1"/>
    <col min="6151" max="6152" width="4.44140625" style="34" customWidth="1"/>
    <col min="6153" max="6153" width="10.77734375" style="34" customWidth="1"/>
    <col min="6154" max="6154" width="8.21875" style="34" customWidth="1"/>
    <col min="6155" max="6155" width="6.33203125" style="34" customWidth="1"/>
    <col min="6156" max="6156" width="9.44140625" style="34" customWidth="1"/>
    <col min="6157" max="6157" width="7.21875" style="34" customWidth="1"/>
    <col min="6158" max="6158" width="25.21875" style="34" customWidth="1"/>
    <col min="6159" max="6400" width="8.88671875" style="34"/>
    <col min="6401" max="6401" width="4.44140625" style="34" customWidth="1"/>
    <col min="6402" max="6402" width="6.77734375" style="34" customWidth="1"/>
    <col min="6403" max="6403" width="11" style="34" customWidth="1"/>
    <col min="6404" max="6405" width="12.21875" style="34" customWidth="1"/>
    <col min="6406" max="6406" width="43.44140625" style="34" customWidth="1"/>
    <col min="6407" max="6408" width="4.44140625" style="34" customWidth="1"/>
    <col min="6409" max="6409" width="10.77734375" style="34" customWidth="1"/>
    <col min="6410" max="6410" width="8.21875" style="34" customWidth="1"/>
    <col min="6411" max="6411" width="6.33203125" style="34" customWidth="1"/>
    <col min="6412" max="6412" width="9.44140625" style="34" customWidth="1"/>
    <col min="6413" max="6413" width="7.21875" style="34" customWidth="1"/>
    <col min="6414" max="6414" width="25.21875" style="34" customWidth="1"/>
    <col min="6415" max="6656" width="8.88671875" style="34"/>
    <col min="6657" max="6657" width="4.44140625" style="34" customWidth="1"/>
    <col min="6658" max="6658" width="6.77734375" style="34" customWidth="1"/>
    <col min="6659" max="6659" width="11" style="34" customWidth="1"/>
    <col min="6660" max="6661" width="12.21875" style="34" customWidth="1"/>
    <col min="6662" max="6662" width="43.44140625" style="34" customWidth="1"/>
    <col min="6663" max="6664" width="4.44140625" style="34" customWidth="1"/>
    <col min="6665" max="6665" width="10.77734375" style="34" customWidth="1"/>
    <col min="6666" max="6666" width="8.21875" style="34" customWidth="1"/>
    <col min="6667" max="6667" width="6.33203125" style="34" customWidth="1"/>
    <col min="6668" max="6668" width="9.44140625" style="34" customWidth="1"/>
    <col min="6669" max="6669" width="7.21875" style="34" customWidth="1"/>
    <col min="6670" max="6670" width="25.21875" style="34" customWidth="1"/>
    <col min="6671" max="6912" width="8.88671875" style="34"/>
    <col min="6913" max="6913" width="4.44140625" style="34" customWidth="1"/>
    <col min="6914" max="6914" width="6.77734375" style="34" customWidth="1"/>
    <col min="6915" max="6915" width="11" style="34" customWidth="1"/>
    <col min="6916" max="6917" width="12.21875" style="34" customWidth="1"/>
    <col min="6918" max="6918" width="43.44140625" style="34" customWidth="1"/>
    <col min="6919" max="6920" width="4.44140625" style="34" customWidth="1"/>
    <col min="6921" max="6921" width="10.77734375" style="34" customWidth="1"/>
    <col min="6922" max="6922" width="8.21875" style="34" customWidth="1"/>
    <col min="6923" max="6923" width="6.33203125" style="34" customWidth="1"/>
    <col min="6924" max="6924" width="9.44140625" style="34" customWidth="1"/>
    <col min="6925" max="6925" width="7.21875" style="34" customWidth="1"/>
    <col min="6926" max="6926" width="25.21875" style="34" customWidth="1"/>
    <col min="6927" max="7168" width="8.88671875" style="34"/>
    <col min="7169" max="7169" width="4.44140625" style="34" customWidth="1"/>
    <col min="7170" max="7170" width="6.77734375" style="34" customWidth="1"/>
    <col min="7171" max="7171" width="11" style="34" customWidth="1"/>
    <col min="7172" max="7173" width="12.21875" style="34" customWidth="1"/>
    <col min="7174" max="7174" width="43.44140625" style="34" customWidth="1"/>
    <col min="7175" max="7176" width="4.44140625" style="34" customWidth="1"/>
    <col min="7177" max="7177" width="10.77734375" style="34" customWidth="1"/>
    <col min="7178" max="7178" width="8.21875" style="34" customWidth="1"/>
    <col min="7179" max="7179" width="6.33203125" style="34" customWidth="1"/>
    <col min="7180" max="7180" width="9.44140625" style="34" customWidth="1"/>
    <col min="7181" max="7181" width="7.21875" style="34" customWidth="1"/>
    <col min="7182" max="7182" width="25.21875" style="34" customWidth="1"/>
    <col min="7183" max="7424" width="8.88671875" style="34"/>
    <col min="7425" max="7425" width="4.44140625" style="34" customWidth="1"/>
    <col min="7426" max="7426" width="6.77734375" style="34" customWidth="1"/>
    <col min="7427" max="7427" width="11" style="34" customWidth="1"/>
    <col min="7428" max="7429" width="12.21875" style="34" customWidth="1"/>
    <col min="7430" max="7430" width="43.44140625" style="34" customWidth="1"/>
    <col min="7431" max="7432" width="4.44140625" style="34" customWidth="1"/>
    <col min="7433" max="7433" width="10.77734375" style="34" customWidth="1"/>
    <col min="7434" max="7434" width="8.21875" style="34" customWidth="1"/>
    <col min="7435" max="7435" width="6.33203125" style="34" customWidth="1"/>
    <col min="7436" max="7436" width="9.44140625" style="34" customWidth="1"/>
    <col min="7437" max="7437" width="7.21875" style="34" customWidth="1"/>
    <col min="7438" max="7438" width="25.21875" style="34" customWidth="1"/>
    <col min="7439" max="7680" width="8.88671875" style="34"/>
    <col min="7681" max="7681" width="4.44140625" style="34" customWidth="1"/>
    <col min="7682" max="7682" width="6.77734375" style="34" customWidth="1"/>
    <col min="7683" max="7683" width="11" style="34" customWidth="1"/>
    <col min="7684" max="7685" width="12.21875" style="34" customWidth="1"/>
    <col min="7686" max="7686" width="43.44140625" style="34" customWidth="1"/>
    <col min="7687" max="7688" width="4.44140625" style="34" customWidth="1"/>
    <col min="7689" max="7689" width="10.77734375" style="34" customWidth="1"/>
    <col min="7690" max="7690" width="8.21875" style="34" customWidth="1"/>
    <col min="7691" max="7691" width="6.33203125" style="34" customWidth="1"/>
    <col min="7692" max="7692" width="9.44140625" style="34" customWidth="1"/>
    <col min="7693" max="7693" width="7.21875" style="34" customWidth="1"/>
    <col min="7694" max="7694" width="25.21875" style="34" customWidth="1"/>
    <col min="7695" max="7936" width="8.88671875" style="34"/>
    <col min="7937" max="7937" width="4.44140625" style="34" customWidth="1"/>
    <col min="7938" max="7938" width="6.77734375" style="34" customWidth="1"/>
    <col min="7939" max="7939" width="11" style="34" customWidth="1"/>
    <col min="7940" max="7941" width="12.21875" style="34" customWidth="1"/>
    <col min="7942" max="7942" width="43.44140625" style="34" customWidth="1"/>
    <col min="7943" max="7944" width="4.44140625" style="34" customWidth="1"/>
    <col min="7945" max="7945" width="10.77734375" style="34" customWidth="1"/>
    <col min="7946" max="7946" width="8.21875" style="34" customWidth="1"/>
    <col min="7947" max="7947" width="6.33203125" style="34" customWidth="1"/>
    <col min="7948" max="7948" width="9.44140625" style="34" customWidth="1"/>
    <col min="7949" max="7949" width="7.21875" style="34" customWidth="1"/>
    <col min="7950" max="7950" width="25.21875" style="34" customWidth="1"/>
    <col min="7951" max="8192" width="8.88671875" style="34"/>
    <col min="8193" max="8193" width="4.44140625" style="34" customWidth="1"/>
    <col min="8194" max="8194" width="6.77734375" style="34" customWidth="1"/>
    <col min="8195" max="8195" width="11" style="34" customWidth="1"/>
    <col min="8196" max="8197" width="12.21875" style="34" customWidth="1"/>
    <col min="8198" max="8198" width="43.44140625" style="34" customWidth="1"/>
    <col min="8199" max="8200" width="4.44140625" style="34" customWidth="1"/>
    <col min="8201" max="8201" width="10.77734375" style="34" customWidth="1"/>
    <col min="8202" max="8202" width="8.21875" style="34" customWidth="1"/>
    <col min="8203" max="8203" width="6.33203125" style="34" customWidth="1"/>
    <col min="8204" max="8204" width="9.44140625" style="34" customWidth="1"/>
    <col min="8205" max="8205" width="7.21875" style="34" customWidth="1"/>
    <col min="8206" max="8206" width="25.21875" style="34" customWidth="1"/>
    <col min="8207" max="8448" width="8.88671875" style="34"/>
    <col min="8449" max="8449" width="4.44140625" style="34" customWidth="1"/>
    <col min="8450" max="8450" width="6.77734375" style="34" customWidth="1"/>
    <col min="8451" max="8451" width="11" style="34" customWidth="1"/>
    <col min="8452" max="8453" width="12.21875" style="34" customWidth="1"/>
    <col min="8454" max="8454" width="43.44140625" style="34" customWidth="1"/>
    <col min="8455" max="8456" width="4.44140625" style="34" customWidth="1"/>
    <col min="8457" max="8457" width="10.77734375" style="34" customWidth="1"/>
    <col min="8458" max="8458" width="8.21875" style="34" customWidth="1"/>
    <col min="8459" max="8459" width="6.33203125" style="34" customWidth="1"/>
    <col min="8460" max="8460" width="9.44140625" style="34" customWidth="1"/>
    <col min="8461" max="8461" width="7.21875" style="34" customWidth="1"/>
    <col min="8462" max="8462" width="25.21875" style="34" customWidth="1"/>
    <col min="8463" max="8704" width="8.88671875" style="34"/>
    <col min="8705" max="8705" width="4.44140625" style="34" customWidth="1"/>
    <col min="8706" max="8706" width="6.77734375" style="34" customWidth="1"/>
    <col min="8707" max="8707" width="11" style="34" customWidth="1"/>
    <col min="8708" max="8709" width="12.21875" style="34" customWidth="1"/>
    <col min="8710" max="8710" width="43.44140625" style="34" customWidth="1"/>
    <col min="8711" max="8712" width="4.44140625" style="34" customWidth="1"/>
    <col min="8713" max="8713" width="10.77734375" style="34" customWidth="1"/>
    <col min="8714" max="8714" width="8.21875" style="34" customWidth="1"/>
    <col min="8715" max="8715" width="6.33203125" style="34" customWidth="1"/>
    <col min="8716" max="8716" width="9.44140625" style="34" customWidth="1"/>
    <col min="8717" max="8717" width="7.21875" style="34" customWidth="1"/>
    <col min="8718" max="8718" width="25.21875" style="34" customWidth="1"/>
    <col min="8719" max="8960" width="8.88671875" style="34"/>
    <col min="8961" max="8961" width="4.44140625" style="34" customWidth="1"/>
    <col min="8962" max="8962" width="6.77734375" style="34" customWidth="1"/>
    <col min="8963" max="8963" width="11" style="34" customWidth="1"/>
    <col min="8964" max="8965" width="12.21875" style="34" customWidth="1"/>
    <col min="8966" max="8966" width="43.44140625" style="34" customWidth="1"/>
    <col min="8967" max="8968" width="4.44140625" style="34" customWidth="1"/>
    <col min="8969" max="8969" width="10.77734375" style="34" customWidth="1"/>
    <col min="8970" max="8970" width="8.21875" style="34" customWidth="1"/>
    <col min="8971" max="8971" width="6.33203125" style="34" customWidth="1"/>
    <col min="8972" max="8972" width="9.44140625" style="34" customWidth="1"/>
    <col min="8973" max="8973" width="7.21875" style="34" customWidth="1"/>
    <col min="8974" max="8974" width="25.21875" style="34" customWidth="1"/>
    <col min="8975" max="9216" width="8.88671875" style="34"/>
    <col min="9217" max="9217" width="4.44140625" style="34" customWidth="1"/>
    <col min="9218" max="9218" width="6.77734375" style="34" customWidth="1"/>
    <col min="9219" max="9219" width="11" style="34" customWidth="1"/>
    <col min="9220" max="9221" width="12.21875" style="34" customWidth="1"/>
    <col min="9222" max="9222" width="43.44140625" style="34" customWidth="1"/>
    <col min="9223" max="9224" width="4.44140625" style="34" customWidth="1"/>
    <col min="9225" max="9225" width="10.77734375" style="34" customWidth="1"/>
    <col min="9226" max="9226" width="8.21875" style="34" customWidth="1"/>
    <col min="9227" max="9227" width="6.33203125" style="34" customWidth="1"/>
    <col min="9228" max="9228" width="9.44140625" style="34" customWidth="1"/>
    <col min="9229" max="9229" width="7.21875" style="34" customWidth="1"/>
    <col min="9230" max="9230" width="25.21875" style="34" customWidth="1"/>
    <col min="9231" max="9472" width="8.88671875" style="34"/>
    <col min="9473" max="9473" width="4.44140625" style="34" customWidth="1"/>
    <col min="9474" max="9474" width="6.77734375" style="34" customWidth="1"/>
    <col min="9475" max="9475" width="11" style="34" customWidth="1"/>
    <col min="9476" max="9477" width="12.21875" style="34" customWidth="1"/>
    <col min="9478" max="9478" width="43.44140625" style="34" customWidth="1"/>
    <col min="9479" max="9480" width="4.44140625" style="34" customWidth="1"/>
    <col min="9481" max="9481" width="10.77734375" style="34" customWidth="1"/>
    <col min="9482" max="9482" width="8.21875" style="34" customWidth="1"/>
    <col min="9483" max="9483" width="6.33203125" style="34" customWidth="1"/>
    <col min="9484" max="9484" width="9.44140625" style="34" customWidth="1"/>
    <col min="9485" max="9485" width="7.21875" style="34" customWidth="1"/>
    <col min="9486" max="9486" width="25.21875" style="34" customWidth="1"/>
    <col min="9487" max="9728" width="8.88671875" style="34"/>
    <col min="9729" max="9729" width="4.44140625" style="34" customWidth="1"/>
    <col min="9730" max="9730" width="6.77734375" style="34" customWidth="1"/>
    <col min="9731" max="9731" width="11" style="34" customWidth="1"/>
    <col min="9732" max="9733" width="12.21875" style="34" customWidth="1"/>
    <col min="9734" max="9734" width="43.44140625" style="34" customWidth="1"/>
    <col min="9735" max="9736" width="4.44140625" style="34" customWidth="1"/>
    <col min="9737" max="9737" width="10.77734375" style="34" customWidth="1"/>
    <col min="9738" max="9738" width="8.21875" style="34" customWidth="1"/>
    <col min="9739" max="9739" width="6.33203125" style="34" customWidth="1"/>
    <col min="9740" max="9740" width="9.44140625" style="34" customWidth="1"/>
    <col min="9741" max="9741" width="7.21875" style="34" customWidth="1"/>
    <col min="9742" max="9742" width="25.21875" style="34" customWidth="1"/>
    <col min="9743" max="9984" width="8.88671875" style="34"/>
    <col min="9985" max="9985" width="4.44140625" style="34" customWidth="1"/>
    <col min="9986" max="9986" width="6.77734375" style="34" customWidth="1"/>
    <col min="9987" max="9987" width="11" style="34" customWidth="1"/>
    <col min="9988" max="9989" width="12.21875" style="34" customWidth="1"/>
    <col min="9990" max="9990" width="43.44140625" style="34" customWidth="1"/>
    <col min="9991" max="9992" width="4.44140625" style="34" customWidth="1"/>
    <col min="9993" max="9993" width="10.77734375" style="34" customWidth="1"/>
    <col min="9994" max="9994" width="8.21875" style="34" customWidth="1"/>
    <col min="9995" max="9995" width="6.33203125" style="34" customWidth="1"/>
    <col min="9996" max="9996" width="9.44140625" style="34" customWidth="1"/>
    <col min="9997" max="9997" width="7.21875" style="34" customWidth="1"/>
    <col min="9998" max="9998" width="25.21875" style="34" customWidth="1"/>
    <col min="9999" max="10240" width="8.88671875" style="34"/>
    <col min="10241" max="10241" width="4.44140625" style="34" customWidth="1"/>
    <col min="10242" max="10242" width="6.77734375" style="34" customWidth="1"/>
    <col min="10243" max="10243" width="11" style="34" customWidth="1"/>
    <col min="10244" max="10245" width="12.21875" style="34" customWidth="1"/>
    <col min="10246" max="10246" width="43.44140625" style="34" customWidth="1"/>
    <col min="10247" max="10248" width="4.44140625" style="34" customWidth="1"/>
    <col min="10249" max="10249" width="10.77734375" style="34" customWidth="1"/>
    <col min="10250" max="10250" width="8.21875" style="34" customWidth="1"/>
    <col min="10251" max="10251" width="6.33203125" style="34" customWidth="1"/>
    <col min="10252" max="10252" width="9.44140625" style="34" customWidth="1"/>
    <col min="10253" max="10253" width="7.21875" style="34" customWidth="1"/>
    <col min="10254" max="10254" width="25.21875" style="34" customWidth="1"/>
    <col min="10255" max="10496" width="8.88671875" style="34"/>
    <col min="10497" max="10497" width="4.44140625" style="34" customWidth="1"/>
    <col min="10498" max="10498" width="6.77734375" style="34" customWidth="1"/>
    <col min="10499" max="10499" width="11" style="34" customWidth="1"/>
    <col min="10500" max="10501" width="12.21875" style="34" customWidth="1"/>
    <col min="10502" max="10502" width="43.44140625" style="34" customWidth="1"/>
    <col min="10503" max="10504" width="4.44140625" style="34" customWidth="1"/>
    <col min="10505" max="10505" width="10.77734375" style="34" customWidth="1"/>
    <col min="10506" max="10506" width="8.21875" style="34" customWidth="1"/>
    <col min="10507" max="10507" width="6.33203125" style="34" customWidth="1"/>
    <col min="10508" max="10508" width="9.44140625" style="34" customWidth="1"/>
    <col min="10509" max="10509" width="7.21875" style="34" customWidth="1"/>
    <col min="10510" max="10510" width="25.21875" style="34" customWidth="1"/>
    <col min="10511" max="10752" width="8.88671875" style="34"/>
    <col min="10753" max="10753" width="4.44140625" style="34" customWidth="1"/>
    <col min="10754" max="10754" width="6.77734375" style="34" customWidth="1"/>
    <col min="10755" max="10755" width="11" style="34" customWidth="1"/>
    <col min="10756" max="10757" width="12.21875" style="34" customWidth="1"/>
    <col min="10758" max="10758" width="43.44140625" style="34" customWidth="1"/>
    <col min="10759" max="10760" width="4.44140625" style="34" customWidth="1"/>
    <col min="10761" max="10761" width="10.77734375" style="34" customWidth="1"/>
    <col min="10762" max="10762" width="8.21875" style="34" customWidth="1"/>
    <col min="10763" max="10763" width="6.33203125" style="34" customWidth="1"/>
    <col min="10764" max="10764" width="9.44140625" style="34" customWidth="1"/>
    <col min="10765" max="10765" width="7.21875" style="34" customWidth="1"/>
    <col min="10766" max="10766" width="25.21875" style="34" customWidth="1"/>
    <col min="10767" max="11008" width="8.88671875" style="34"/>
    <col min="11009" max="11009" width="4.44140625" style="34" customWidth="1"/>
    <col min="11010" max="11010" width="6.77734375" style="34" customWidth="1"/>
    <col min="11011" max="11011" width="11" style="34" customWidth="1"/>
    <col min="11012" max="11013" width="12.21875" style="34" customWidth="1"/>
    <col min="11014" max="11014" width="43.44140625" style="34" customWidth="1"/>
    <col min="11015" max="11016" width="4.44140625" style="34" customWidth="1"/>
    <col min="11017" max="11017" width="10.77734375" style="34" customWidth="1"/>
    <col min="11018" max="11018" width="8.21875" style="34" customWidth="1"/>
    <col min="11019" max="11019" width="6.33203125" style="34" customWidth="1"/>
    <col min="11020" max="11020" width="9.44140625" style="34" customWidth="1"/>
    <col min="11021" max="11021" width="7.21875" style="34" customWidth="1"/>
    <col min="11022" max="11022" width="25.21875" style="34" customWidth="1"/>
    <col min="11023" max="11264" width="8.88671875" style="34"/>
    <col min="11265" max="11265" width="4.44140625" style="34" customWidth="1"/>
    <col min="11266" max="11266" width="6.77734375" style="34" customWidth="1"/>
    <col min="11267" max="11267" width="11" style="34" customWidth="1"/>
    <col min="11268" max="11269" width="12.21875" style="34" customWidth="1"/>
    <col min="11270" max="11270" width="43.44140625" style="34" customWidth="1"/>
    <col min="11271" max="11272" width="4.44140625" style="34" customWidth="1"/>
    <col min="11273" max="11273" width="10.77734375" style="34" customWidth="1"/>
    <col min="11274" max="11274" width="8.21875" style="34" customWidth="1"/>
    <col min="11275" max="11275" width="6.33203125" style="34" customWidth="1"/>
    <col min="11276" max="11276" width="9.44140625" style="34" customWidth="1"/>
    <col min="11277" max="11277" width="7.21875" style="34" customWidth="1"/>
    <col min="11278" max="11278" width="25.21875" style="34" customWidth="1"/>
    <col min="11279" max="11520" width="8.88671875" style="34"/>
    <col min="11521" max="11521" width="4.44140625" style="34" customWidth="1"/>
    <col min="11522" max="11522" width="6.77734375" style="34" customWidth="1"/>
    <col min="11523" max="11523" width="11" style="34" customWidth="1"/>
    <col min="11524" max="11525" width="12.21875" style="34" customWidth="1"/>
    <col min="11526" max="11526" width="43.44140625" style="34" customWidth="1"/>
    <col min="11527" max="11528" width="4.44140625" style="34" customWidth="1"/>
    <col min="11529" max="11529" width="10.77734375" style="34" customWidth="1"/>
    <col min="11530" max="11530" width="8.21875" style="34" customWidth="1"/>
    <col min="11531" max="11531" width="6.33203125" style="34" customWidth="1"/>
    <col min="11532" max="11532" width="9.44140625" style="34" customWidth="1"/>
    <col min="11533" max="11533" width="7.21875" style="34" customWidth="1"/>
    <col min="11534" max="11534" width="25.21875" style="34" customWidth="1"/>
    <col min="11535" max="11776" width="8.88671875" style="34"/>
    <col min="11777" max="11777" width="4.44140625" style="34" customWidth="1"/>
    <col min="11778" max="11778" width="6.77734375" style="34" customWidth="1"/>
    <col min="11779" max="11779" width="11" style="34" customWidth="1"/>
    <col min="11780" max="11781" width="12.21875" style="34" customWidth="1"/>
    <col min="11782" max="11782" width="43.44140625" style="34" customWidth="1"/>
    <col min="11783" max="11784" width="4.44140625" style="34" customWidth="1"/>
    <col min="11785" max="11785" width="10.77734375" style="34" customWidth="1"/>
    <col min="11786" max="11786" width="8.21875" style="34" customWidth="1"/>
    <col min="11787" max="11787" width="6.33203125" style="34" customWidth="1"/>
    <col min="11788" max="11788" width="9.44140625" style="34" customWidth="1"/>
    <col min="11789" max="11789" width="7.21875" style="34" customWidth="1"/>
    <col min="11790" max="11790" width="25.21875" style="34" customWidth="1"/>
    <col min="11791" max="12032" width="8.88671875" style="34"/>
    <col min="12033" max="12033" width="4.44140625" style="34" customWidth="1"/>
    <col min="12034" max="12034" width="6.77734375" style="34" customWidth="1"/>
    <col min="12035" max="12035" width="11" style="34" customWidth="1"/>
    <col min="12036" max="12037" width="12.21875" style="34" customWidth="1"/>
    <col min="12038" max="12038" width="43.44140625" style="34" customWidth="1"/>
    <col min="12039" max="12040" width="4.44140625" style="34" customWidth="1"/>
    <col min="12041" max="12041" width="10.77734375" style="34" customWidth="1"/>
    <col min="12042" max="12042" width="8.21875" style="34" customWidth="1"/>
    <col min="12043" max="12043" width="6.33203125" style="34" customWidth="1"/>
    <col min="12044" max="12044" width="9.44140625" style="34" customWidth="1"/>
    <col min="12045" max="12045" width="7.21875" style="34" customWidth="1"/>
    <col min="12046" max="12046" width="25.21875" style="34" customWidth="1"/>
    <col min="12047" max="12288" width="8.88671875" style="34"/>
    <col min="12289" max="12289" width="4.44140625" style="34" customWidth="1"/>
    <col min="12290" max="12290" width="6.77734375" style="34" customWidth="1"/>
    <col min="12291" max="12291" width="11" style="34" customWidth="1"/>
    <col min="12292" max="12293" width="12.21875" style="34" customWidth="1"/>
    <col min="12294" max="12294" width="43.44140625" style="34" customWidth="1"/>
    <col min="12295" max="12296" width="4.44140625" style="34" customWidth="1"/>
    <col min="12297" max="12297" width="10.77734375" style="34" customWidth="1"/>
    <col min="12298" max="12298" width="8.21875" style="34" customWidth="1"/>
    <col min="12299" max="12299" width="6.33203125" style="34" customWidth="1"/>
    <col min="12300" max="12300" width="9.44140625" style="34" customWidth="1"/>
    <col min="12301" max="12301" width="7.21875" style="34" customWidth="1"/>
    <col min="12302" max="12302" width="25.21875" style="34" customWidth="1"/>
    <col min="12303" max="12544" width="8.88671875" style="34"/>
    <col min="12545" max="12545" width="4.44140625" style="34" customWidth="1"/>
    <col min="12546" max="12546" width="6.77734375" style="34" customWidth="1"/>
    <col min="12547" max="12547" width="11" style="34" customWidth="1"/>
    <col min="12548" max="12549" width="12.21875" style="34" customWidth="1"/>
    <col min="12550" max="12550" width="43.44140625" style="34" customWidth="1"/>
    <col min="12551" max="12552" width="4.44140625" style="34" customWidth="1"/>
    <col min="12553" max="12553" width="10.77734375" style="34" customWidth="1"/>
    <col min="12554" max="12554" width="8.21875" style="34" customWidth="1"/>
    <col min="12555" max="12555" width="6.33203125" style="34" customWidth="1"/>
    <col min="12556" max="12556" width="9.44140625" style="34" customWidth="1"/>
    <col min="12557" max="12557" width="7.21875" style="34" customWidth="1"/>
    <col min="12558" max="12558" width="25.21875" style="34" customWidth="1"/>
    <col min="12559" max="12800" width="8.88671875" style="34"/>
    <col min="12801" max="12801" width="4.44140625" style="34" customWidth="1"/>
    <col min="12802" max="12802" width="6.77734375" style="34" customWidth="1"/>
    <col min="12803" max="12803" width="11" style="34" customWidth="1"/>
    <col min="12804" max="12805" width="12.21875" style="34" customWidth="1"/>
    <col min="12806" max="12806" width="43.44140625" style="34" customWidth="1"/>
    <col min="12807" max="12808" width="4.44140625" style="34" customWidth="1"/>
    <col min="12809" max="12809" width="10.77734375" style="34" customWidth="1"/>
    <col min="12810" max="12810" width="8.21875" style="34" customWidth="1"/>
    <col min="12811" max="12811" width="6.33203125" style="34" customWidth="1"/>
    <col min="12812" max="12812" width="9.44140625" style="34" customWidth="1"/>
    <col min="12813" max="12813" width="7.21875" style="34" customWidth="1"/>
    <col min="12814" max="12814" width="25.21875" style="34" customWidth="1"/>
    <col min="12815" max="13056" width="8.88671875" style="34"/>
    <col min="13057" max="13057" width="4.44140625" style="34" customWidth="1"/>
    <col min="13058" max="13058" width="6.77734375" style="34" customWidth="1"/>
    <col min="13059" max="13059" width="11" style="34" customWidth="1"/>
    <col min="13060" max="13061" width="12.21875" style="34" customWidth="1"/>
    <col min="13062" max="13062" width="43.44140625" style="34" customWidth="1"/>
    <col min="13063" max="13064" width="4.44140625" style="34" customWidth="1"/>
    <col min="13065" max="13065" width="10.77734375" style="34" customWidth="1"/>
    <col min="13066" max="13066" width="8.21875" style="34" customWidth="1"/>
    <col min="13067" max="13067" width="6.33203125" style="34" customWidth="1"/>
    <col min="13068" max="13068" width="9.44140625" style="34" customWidth="1"/>
    <col min="13069" max="13069" width="7.21875" style="34" customWidth="1"/>
    <col min="13070" max="13070" width="25.21875" style="34" customWidth="1"/>
    <col min="13071" max="13312" width="8.88671875" style="34"/>
    <col min="13313" max="13313" width="4.44140625" style="34" customWidth="1"/>
    <col min="13314" max="13314" width="6.77734375" style="34" customWidth="1"/>
    <col min="13315" max="13315" width="11" style="34" customWidth="1"/>
    <col min="13316" max="13317" width="12.21875" style="34" customWidth="1"/>
    <col min="13318" max="13318" width="43.44140625" style="34" customWidth="1"/>
    <col min="13319" max="13320" width="4.44140625" style="34" customWidth="1"/>
    <col min="13321" max="13321" width="10.77734375" style="34" customWidth="1"/>
    <col min="13322" max="13322" width="8.21875" style="34" customWidth="1"/>
    <col min="13323" max="13323" width="6.33203125" style="34" customWidth="1"/>
    <col min="13324" max="13324" width="9.44140625" style="34" customWidth="1"/>
    <col min="13325" max="13325" width="7.21875" style="34" customWidth="1"/>
    <col min="13326" max="13326" width="25.21875" style="34" customWidth="1"/>
    <col min="13327" max="13568" width="8.88671875" style="34"/>
    <col min="13569" max="13569" width="4.44140625" style="34" customWidth="1"/>
    <col min="13570" max="13570" width="6.77734375" style="34" customWidth="1"/>
    <col min="13571" max="13571" width="11" style="34" customWidth="1"/>
    <col min="13572" max="13573" width="12.21875" style="34" customWidth="1"/>
    <col min="13574" max="13574" width="43.44140625" style="34" customWidth="1"/>
    <col min="13575" max="13576" width="4.44140625" style="34" customWidth="1"/>
    <col min="13577" max="13577" width="10.77734375" style="34" customWidth="1"/>
    <col min="13578" max="13578" width="8.21875" style="34" customWidth="1"/>
    <col min="13579" max="13579" width="6.33203125" style="34" customWidth="1"/>
    <col min="13580" max="13580" width="9.44140625" style="34" customWidth="1"/>
    <col min="13581" max="13581" width="7.21875" style="34" customWidth="1"/>
    <col min="13582" max="13582" width="25.21875" style="34" customWidth="1"/>
    <col min="13583" max="13824" width="8.88671875" style="34"/>
    <col min="13825" max="13825" width="4.44140625" style="34" customWidth="1"/>
    <col min="13826" max="13826" width="6.77734375" style="34" customWidth="1"/>
    <col min="13827" max="13827" width="11" style="34" customWidth="1"/>
    <col min="13828" max="13829" width="12.21875" style="34" customWidth="1"/>
    <col min="13830" max="13830" width="43.44140625" style="34" customWidth="1"/>
    <col min="13831" max="13832" width="4.44140625" style="34" customWidth="1"/>
    <col min="13833" max="13833" width="10.77734375" style="34" customWidth="1"/>
    <col min="13834" max="13834" width="8.21875" style="34" customWidth="1"/>
    <col min="13835" max="13835" width="6.33203125" style="34" customWidth="1"/>
    <col min="13836" max="13836" width="9.44140625" style="34" customWidth="1"/>
    <col min="13837" max="13837" width="7.21875" style="34" customWidth="1"/>
    <col min="13838" max="13838" width="25.21875" style="34" customWidth="1"/>
    <col min="13839" max="14080" width="8.88671875" style="34"/>
    <col min="14081" max="14081" width="4.44140625" style="34" customWidth="1"/>
    <col min="14082" max="14082" width="6.77734375" style="34" customWidth="1"/>
    <col min="14083" max="14083" width="11" style="34" customWidth="1"/>
    <col min="14084" max="14085" width="12.21875" style="34" customWidth="1"/>
    <col min="14086" max="14086" width="43.44140625" style="34" customWidth="1"/>
    <col min="14087" max="14088" width="4.44140625" style="34" customWidth="1"/>
    <col min="14089" max="14089" width="10.77734375" style="34" customWidth="1"/>
    <col min="14090" max="14090" width="8.21875" style="34" customWidth="1"/>
    <col min="14091" max="14091" width="6.33203125" style="34" customWidth="1"/>
    <col min="14092" max="14092" width="9.44140625" style="34" customWidth="1"/>
    <col min="14093" max="14093" width="7.21875" style="34" customWidth="1"/>
    <col min="14094" max="14094" width="25.21875" style="34" customWidth="1"/>
    <col min="14095" max="14336" width="8.88671875" style="34"/>
    <col min="14337" max="14337" width="4.44140625" style="34" customWidth="1"/>
    <col min="14338" max="14338" width="6.77734375" style="34" customWidth="1"/>
    <col min="14339" max="14339" width="11" style="34" customWidth="1"/>
    <col min="14340" max="14341" width="12.21875" style="34" customWidth="1"/>
    <col min="14342" max="14342" width="43.44140625" style="34" customWidth="1"/>
    <col min="14343" max="14344" width="4.44140625" style="34" customWidth="1"/>
    <col min="14345" max="14345" width="10.77734375" style="34" customWidth="1"/>
    <col min="14346" max="14346" width="8.21875" style="34" customWidth="1"/>
    <col min="14347" max="14347" width="6.33203125" style="34" customWidth="1"/>
    <col min="14348" max="14348" width="9.44140625" style="34" customWidth="1"/>
    <col min="14349" max="14349" width="7.21875" style="34" customWidth="1"/>
    <col min="14350" max="14350" width="25.21875" style="34" customWidth="1"/>
    <col min="14351" max="14592" width="8.88671875" style="34"/>
    <col min="14593" max="14593" width="4.44140625" style="34" customWidth="1"/>
    <col min="14594" max="14594" width="6.77734375" style="34" customWidth="1"/>
    <col min="14595" max="14595" width="11" style="34" customWidth="1"/>
    <col min="14596" max="14597" width="12.21875" style="34" customWidth="1"/>
    <col min="14598" max="14598" width="43.44140625" style="34" customWidth="1"/>
    <col min="14599" max="14600" width="4.44140625" style="34" customWidth="1"/>
    <col min="14601" max="14601" width="10.77734375" style="34" customWidth="1"/>
    <col min="14602" max="14602" width="8.21875" style="34" customWidth="1"/>
    <col min="14603" max="14603" width="6.33203125" style="34" customWidth="1"/>
    <col min="14604" max="14604" width="9.44140625" style="34" customWidth="1"/>
    <col min="14605" max="14605" width="7.21875" style="34" customWidth="1"/>
    <col min="14606" max="14606" width="25.21875" style="34" customWidth="1"/>
    <col min="14607" max="14848" width="8.88671875" style="34"/>
    <col min="14849" max="14849" width="4.44140625" style="34" customWidth="1"/>
    <col min="14850" max="14850" width="6.77734375" style="34" customWidth="1"/>
    <col min="14851" max="14851" width="11" style="34" customWidth="1"/>
    <col min="14852" max="14853" width="12.21875" style="34" customWidth="1"/>
    <col min="14854" max="14854" width="43.44140625" style="34" customWidth="1"/>
    <col min="14855" max="14856" width="4.44140625" style="34" customWidth="1"/>
    <col min="14857" max="14857" width="10.77734375" style="34" customWidth="1"/>
    <col min="14858" max="14858" width="8.21875" style="34" customWidth="1"/>
    <col min="14859" max="14859" width="6.33203125" style="34" customWidth="1"/>
    <col min="14860" max="14860" width="9.44140625" style="34" customWidth="1"/>
    <col min="14861" max="14861" width="7.21875" style="34" customWidth="1"/>
    <col min="14862" max="14862" width="25.21875" style="34" customWidth="1"/>
    <col min="14863" max="15104" width="8.88671875" style="34"/>
    <col min="15105" max="15105" width="4.44140625" style="34" customWidth="1"/>
    <col min="15106" max="15106" width="6.77734375" style="34" customWidth="1"/>
    <col min="15107" max="15107" width="11" style="34" customWidth="1"/>
    <col min="15108" max="15109" width="12.21875" style="34" customWidth="1"/>
    <col min="15110" max="15110" width="43.44140625" style="34" customWidth="1"/>
    <col min="15111" max="15112" width="4.44140625" style="34" customWidth="1"/>
    <col min="15113" max="15113" width="10.77734375" style="34" customWidth="1"/>
    <col min="15114" max="15114" width="8.21875" style="34" customWidth="1"/>
    <col min="15115" max="15115" width="6.33203125" style="34" customWidth="1"/>
    <col min="15116" max="15116" width="9.44140625" style="34" customWidth="1"/>
    <col min="15117" max="15117" width="7.21875" style="34" customWidth="1"/>
    <col min="15118" max="15118" width="25.21875" style="34" customWidth="1"/>
    <col min="15119" max="15360" width="8.88671875" style="34"/>
    <col min="15361" max="15361" width="4.44140625" style="34" customWidth="1"/>
    <col min="15362" max="15362" width="6.77734375" style="34" customWidth="1"/>
    <col min="15363" max="15363" width="11" style="34" customWidth="1"/>
    <col min="15364" max="15365" width="12.21875" style="34" customWidth="1"/>
    <col min="15366" max="15366" width="43.44140625" style="34" customWidth="1"/>
    <col min="15367" max="15368" width="4.44140625" style="34" customWidth="1"/>
    <col min="15369" max="15369" width="10.77734375" style="34" customWidth="1"/>
    <col min="15370" max="15370" width="8.21875" style="34" customWidth="1"/>
    <col min="15371" max="15371" width="6.33203125" style="34" customWidth="1"/>
    <col min="15372" max="15372" width="9.44140625" style="34" customWidth="1"/>
    <col min="15373" max="15373" width="7.21875" style="34" customWidth="1"/>
    <col min="15374" max="15374" width="25.21875" style="34" customWidth="1"/>
    <col min="15375" max="15616" width="8.88671875" style="34"/>
    <col min="15617" max="15617" width="4.44140625" style="34" customWidth="1"/>
    <col min="15618" max="15618" width="6.77734375" style="34" customWidth="1"/>
    <col min="15619" max="15619" width="11" style="34" customWidth="1"/>
    <col min="15620" max="15621" width="12.21875" style="34" customWidth="1"/>
    <col min="15622" max="15622" width="43.44140625" style="34" customWidth="1"/>
    <col min="15623" max="15624" width="4.44140625" style="34" customWidth="1"/>
    <col min="15625" max="15625" width="10.77734375" style="34" customWidth="1"/>
    <col min="15626" max="15626" width="8.21875" style="34" customWidth="1"/>
    <col min="15627" max="15627" width="6.33203125" style="34" customWidth="1"/>
    <col min="15628" max="15628" width="9.44140625" style="34" customWidth="1"/>
    <col min="15629" max="15629" width="7.21875" style="34" customWidth="1"/>
    <col min="15630" max="15630" width="25.21875" style="34" customWidth="1"/>
    <col min="15631" max="15872" width="8.88671875" style="34"/>
    <col min="15873" max="15873" width="4.44140625" style="34" customWidth="1"/>
    <col min="15874" max="15874" width="6.77734375" style="34" customWidth="1"/>
    <col min="15875" max="15875" width="11" style="34" customWidth="1"/>
    <col min="15876" max="15877" width="12.21875" style="34" customWidth="1"/>
    <col min="15878" max="15878" width="43.44140625" style="34" customWidth="1"/>
    <col min="15879" max="15880" width="4.44140625" style="34" customWidth="1"/>
    <col min="15881" max="15881" width="10.77734375" style="34" customWidth="1"/>
    <col min="15882" max="15882" width="8.21875" style="34" customWidth="1"/>
    <col min="15883" max="15883" width="6.33203125" style="34" customWidth="1"/>
    <col min="15884" max="15884" width="9.44140625" style="34" customWidth="1"/>
    <col min="15885" max="15885" width="7.21875" style="34" customWidth="1"/>
    <col min="15886" max="15886" width="25.21875" style="34" customWidth="1"/>
    <col min="15887" max="16128" width="8.88671875" style="34"/>
    <col min="16129" max="16129" width="4.44140625" style="34" customWidth="1"/>
    <col min="16130" max="16130" width="6.77734375" style="34" customWidth="1"/>
    <col min="16131" max="16131" width="11" style="34" customWidth="1"/>
    <col min="16132" max="16133" width="12.21875" style="34" customWidth="1"/>
    <col min="16134" max="16134" width="43.44140625" style="34" customWidth="1"/>
    <col min="16135" max="16136" width="4.44140625" style="34" customWidth="1"/>
    <col min="16137" max="16137" width="10.77734375" style="34" customWidth="1"/>
    <col min="16138" max="16138" width="8.21875" style="34" customWidth="1"/>
    <col min="16139" max="16139" width="6.33203125" style="34" customWidth="1"/>
    <col min="16140" max="16140" width="9.44140625" style="34" customWidth="1"/>
    <col min="16141" max="16141" width="7.21875" style="34" customWidth="1"/>
    <col min="16142" max="16142" width="25.21875" style="34" customWidth="1"/>
    <col min="16143" max="16384" width="8.88671875" style="34"/>
  </cols>
  <sheetData>
    <row r="1" spans="1:19" s="132" customFormat="1" ht="16.350000000000001" customHeight="1">
      <c r="A1" s="148" t="s">
        <v>7827</v>
      </c>
      <c r="B1" s="149" t="s">
        <v>1619</v>
      </c>
      <c r="C1" s="149" t="s">
        <v>7828</v>
      </c>
      <c r="D1" s="150" t="s">
        <v>1621</v>
      </c>
      <c r="E1" s="150" t="s">
        <v>544</v>
      </c>
      <c r="F1" s="151" t="s">
        <v>1622</v>
      </c>
      <c r="G1" s="149" t="s">
        <v>545</v>
      </c>
      <c r="H1" s="149" t="s">
        <v>1624</v>
      </c>
      <c r="I1" s="149" t="s">
        <v>1625</v>
      </c>
      <c r="J1" s="149" t="s">
        <v>1626</v>
      </c>
      <c r="K1" s="149" t="s">
        <v>1623</v>
      </c>
      <c r="L1" s="149" t="s">
        <v>7498</v>
      </c>
      <c r="M1" s="149" t="s">
        <v>5723</v>
      </c>
      <c r="N1" s="152" t="s">
        <v>534</v>
      </c>
      <c r="O1" s="131"/>
      <c r="P1" s="131"/>
      <c r="Q1" s="131"/>
      <c r="R1" s="131"/>
      <c r="S1" s="131"/>
    </row>
    <row r="2" spans="1:19" ht="16.350000000000001" customHeight="1">
      <c r="A2" s="16">
        <v>1</v>
      </c>
      <c r="B2" s="134" t="s">
        <v>5413</v>
      </c>
      <c r="C2" s="134" t="s">
        <v>7455</v>
      </c>
      <c r="D2" s="135">
        <v>9781522571230</v>
      </c>
      <c r="E2" s="135">
        <v>9781522571223</v>
      </c>
      <c r="F2" s="136" t="s">
        <v>8219</v>
      </c>
      <c r="G2" s="133">
        <v>1</v>
      </c>
      <c r="H2" s="134" t="s">
        <v>6518</v>
      </c>
      <c r="I2" s="134" t="s">
        <v>3446</v>
      </c>
      <c r="J2" s="134" t="s">
        <v>561</v>
      </c>
      <c r="K2" s="133">
        <v>2019</v>
      </c>
      <c r="L2" s="137" t="s">
        <v>7499</v>
      </c>
      <c r="M2" s="138" t="s">
        <v>8220</v>
      </c>
      <c r="N2" s="147" t="s">
        <v>8221</v>
      </c>
      <c r="O2" s="34"/>
      <c r="P2" s="34"/>
      <c r="Q2" s="34"/>
      <c r="R2" s="34"/>
      <c r="S2" s="34"/>
    </row>
    <row r="3" spans="1:19" ht="16.350000000000001" customHeight="1">
      <c r="A3" s="16">
        <v>2</v>
      </c>
      <c r="B3" s="134" t="s">
        <v>5413</v>
      </c>
      <c r="C3" s="134" t="s">
        <v>7455</v>
      </c>
      <c r="D3" s="135">
        <v>9781522570400</v>
      </c>
      <c r="E3" s="135">
        <v>9781522570394</v>
      </c>
      <c r="F3" s="136" t="s">
        <v>8222</v>
      </c>
      <c r="G3" s="133">
        <v>1</v>
      </c>
      <c r="H3" s="134" t="s">
        <v>6518</v>
      </c>
      <c r="I3" s="134" t="s">
        <v>3446</v>
      </c>
      <c r="J3" s="134" t="s">
        <v>561</v>
      </c>
      <c r="K3" s="133">
        <v>2019</v>
      </c>
      <c r="L3" s="137" t="s">
        <v>7499</v>
      </c>
      <c r="M3" s="139"/>
      <c r="N3" s="147" t="s">
        <v>8223</v>
      </c>
      <c r="O3" s="34"/>
      <c r="P3" s="34"/>
      <c r="Q3" s="34"/>
      <c r="R3" s="34"/>
      <c r="S3" s="34"/>
    </row>
    <row r="4" spans="1:19" ht="16.350000000000001" customHeight="1">
      <c r="A4" s="16">
        <v>3</v>
      </c>
      <c r="B4" s="134" t="s">
        <v>5413</v>
      </c>
      <c r="C4" s="134" t="s">
        <v>7455</v>
      </c>
      <c r="D4" s="135">
        <v>9781522532682</v>
      </c>
      <c r="E4" s="135">
        <v>9781522532675</v>
      </c>
      <c r="F4" s="136" t="s">
        <v>8230</v>
      </c>
      <c r="G4" s="133">
        <v>1</v>
      </c>
      <c r="H4" s="134" t="s">
        <v>6518</v>
      </c>
      <c r="I4" s="134" t="s">
        <v>6671</v>
      </c>
      <c r="J4" s="134" t="s">
        <v>561</v>
      </c>
      <c r="K4" s="133">
        <v>2019</v>
      </c>
      <c r="L4" s="137" t="s">
        <v>7499</v>
      </c>
      <c r="M4" s="139"/>
      <c r="N4" s="147" t="s">
        <v>8231</v>
      </c>
      <c r="O4" s="34"/>
      <c r="P4" s="34"/>
      <c r="Q4" s="34"/>
      <c r="R4" s="34"/>
      <c r="S4" s="34"/>
    </row>
    <row r="5" spans="1:19" ht="16.350000000000001" customHeight="1">
      <c r="A5" s="16">
        <v>4</v>
      </c>
      <c r="B5" s="134" t="s">
        <v>5413</v>
      </c>
      <c r="C5" s="134" t="s">
        <v>7455</v>
      </c>
      <c r="D5" s="135">
        <v>9781522563051</v>
      </c>
      <c r="E5" s="135">
        <v>9781522563044</v>
      </c>
      <c r="F5" s="136" t="s">
        <v>8239</v>
      </c>
      <c r="G5" s="133">
        <v>1</v>
      </c>
      <c r="H5" s="134" t="s">
        <v>6518</v>
      </c>
      <c r="I5" s="134" t="s">
        <v>8240</v>
      </c>
      <c r="J5" s="134" t="s">
        <v>561</v>
      </c>
      <c r="K5" s="133">
        <v>2019</v>
      </c>
      <c r="L5" s="137" t="s">
        <v>7499</v>
      </c>
      <c r="M5" s="139"/>
      <c r="N5" s="147" t="s">
        <v>8241</v>
      </c>
      <c r="O5" s="34"/>
      <c r="P5" s="34"/>
      <c r="Q5" s="34"/>
      <c r="R5" s="34"/>
      <c r="S5" s="34"/>
    </row>
    <row r="6" spans="1:19" ht="16.350000000000001" customHeight="1">
      <c r="A6" s="16">
        <v>5</v>
      </c>
      <c r="B6" s="134" t="s">
        <v>5413</v>
      </c>
      <c r="C6" s="134" t="s">
        <v>7456</v>
      </c>
      <c r="D6" s="135">
        <v>9781522577768</v>
      </c>
      <c r="E6" s="135">
        <v>9781522577751</v>
      </c>
      <c r="F6" s="136" t="s">
        <v>8206</v>
      </c>
      <c r="G6" s="133">
        <v>1</v>
      </c>
      <c r="H6" s="134" t="s">
        <v>6518</v>
      </c>
      <c r="I6" s="134" t="s">
        <v>8207</v>
      </c>
      <c r="J6" s="134" t="s">
        <v>1233</v>
      </c>
      <c r="K6" s="133">
        <v>2019</v>
      </c>
      <c r="L6" s="137" t="s">
        <v>7499</v>
      </c>
      <c r="M6" s="139"/>
      <c r="N6" s="147" t="s">
        <v>8208</v>
      </c>
      <c r="O6" s="34"/>
      <c r="P6" s="34"/>
      <c r="Q6" s="34"/>
      <c r="R6" s="34"/>
      <c r="S6" s="34"/>
    </row>
    <row r="7" spans="1:19" ht="16.350000000000001" customHeight="1">
      <c r="A7" s="16">
        <v>6</v>
      </c>
      <c r="B7" s="134" t="s">
        <v>5413</v>
      </c>
      <c r="C7" s="134" t="s">
        <v>7456</v>
      </c>
      <c r="D7" s="135">
        <v>9781522576365</v>
      </c>
      <c r="E7" s="135">
        <v>9781522576358</v>
      </c>
      <c r="F7" s="136" t="s">
        <v>8242</v>
      </c>
      <c r="G7" s="133">
        <v>1</v>
      </c>
      <c r="H7" s="134" t="s">
        <v>6518</v>
      </c>
      <c r="I7" s="134" t="s">
        <v>8243</v>
      </c>
      <c r="J7" s="134" t="s">
        <v>561</v>
      </c>
      <c r="K7" s="133">
        <v>2019</v>
      </c>
      <c r="L7" s="137" t="s">
        <v>7499</v>
      </c>
      <c r="M7" s="139"/>
      <c r="N7" s="147" t="s">
        <v>8244</v>
      </c>
      <c r="O7" s="34"/>
      <c r="P7" s="34"/>
      <c r="Q7" s="34"/>
      <c r="R7" s="34"/>
      <c r="S7" s="34"/>
    </row>
    <row r="8" spans="1:19" ht="16.350000000000001" customHeight="1">
      <c r="A8" s="16">
        <v>7</v>
      </c>
      <c r="B8" s="134" t="s">
        <v>5413</v>
      </c>
      <c r="C8" s="134" t="s">
        <v>7457</v>
      </c>
      <c r="D8" s="135">
        <v>9781466661479</v>
      </c>
      <c r="E8" s="135">
        <v>9781466661462</v>
      </c>
      <c r="F8" s="136" t="s">
        <v>8193</v>
      </c>
      <c r="G8" s="133">
        <v>1</v>
      </c>
      <c r="H8" s="134" t="s">
        <v>6518</v>
      </c>
      <c r="I8" s="134" t="s">
        <v>7273</v>
      </c>
      <c r="J8" s="134" t="s">
        <v>561</v>
      </c>
      <c r="K8" s="133">
        <v>2014</v>
      </c>
      <c r="L8" s="137" t="s">
        <v>7499</v>
      </c>
      <c r="M8" s="139"/>
      <c r="N8" s="147" t="s">
        <v>8194</v>
      </c>
      <c r="O8" s="34"/>
      <c r="P8" s="34"/>
      <c r="Q8" s="34"/>
      <c r="R8" s="34"/>
      <c r="S8" s="34"/>
    </row>
    <row r="9" spans="1:19" ht="16.350000000000001" customHeight="1">
      <c r="A9" s="16">
        <v>8</v>
      </c>
      <c r="B9" s="134" t="s">
        <v>5413</v>
      </c>
      <c r="C9" s="134" t="s">
        <v>7457</v>
      </c>
      <c r="D9" s="135">
        <v>9781522522638</v>
      </c>
      <c r="E9" s="135">
        <v>9781522522621</v>
      </c>
      <c r="F9" s="136" t="s">
        <v>8195</v>
      </c>
      <c r="G9" s="133">
        <v>1</v>
      </c>
      <c r="H9" s="134" t="s">
        <v>6518</v>
      </c>
      <c r="I9" s="134" t="s">
        <v>8196</v>
      </c>
      <c r="J9" s="134" t="s">
        <v>561</v>
      </c>
      <c r="K9" s="133">
        <v>2017</v>
      </c>
      <c r="L9" s="137" t="s">
        <v>7499</v>
      </c>
      <c r="M9" s="139"/>
      <c r="N9" s="147" t="s">
        <v>8197</v>
      </c>
      <c r="O9" s="34"/>
      <c r="P9" s="34"/>
      <c r="Q9" s="34"/>
      <c r="R9" s="34"/>
      <c r="S9" s="34"/>
    </row>
    <row r="10" spans="1:19" ht="16.350000000000001" customHeight="1">
      <c r="A10" s="16">
        <v>9</v>
      </c>
      <c r="B10" s="134" t="s">
        <v>5413</v>
      </c>
      <c r="C10" s="134" t="s">
        <v>7457</v>
      </c>
      <c r="D10" s="135">
        <v>9781522550372</v>
      </c>
      <c r="E10" s="135">
        <v>9781522550365</v>
      </c>
      <c r="F10" s="136" t="s">
        <v>8198</v>
      </c>
      <c r="G10" s="133">
        <v>1</v>
      </c>
      <c r="H10" s="134" t="s">
        <v>6518</v>
      </c>
      <c r="I10" s="134" t="s">
        <v>8199</v>
      </c>
      <c r="J10" s="134" t="s">
        <v>561</v>
      </c>
      <c r="K10" s="133">
        <v>2018</v>
      </c>
      <c r="L10" s="137" t="s">
        <v>7499</v>
      </c>
      <c r="M10" s="139"/>
      <c r="N10" s="147" t="s">
        <v>8200</v>
      </c>
      <c r="O10" s="34"/>
      <c r="P10" s="34"/>
      <c r="Q10" s="34"/>
      <c r="R10" s="34"/>
      <c r="S10" s="34"/>
    </row>
    <row r="11" spans="1:19" ht="16.350000000000001" customHeight="1">
      <c r="A11" s="16">
        <v>10</v>
      </c>
      <c r="B11" s="134" t="s">
        <v>5413</v>
      </c>
      <c r="C11" s="134" t="s">
        <v>7457</v>
      </c>
      <c r="D11" s="135">
        <v>9781522580225</v>
      </c>
      <c r="E11" s="135">
        <v>9781522580218</v>
      </c>
      <c r="F11" s="136" t="s">
        <v>8212</v>
      </c>
      <c r="G11" s="133">
        <v>1</v>
      </c>
      <c r="H11" s="134" t="s">
        <v>6518</v>
      </c>
      <c r="I11" s="134" t="s">
        <v>1792</v>
      </c>
      <c r="J11" s="134" t="s">
        <v>561</v>
      </c>
      <c r="K11" s="133">
        <v>2019</v>
      </c>
      <c r="L11" s="137" t="s">
        <v>7499</v>
      </c>
      <c r="M11" s="139"/>
      <c r="N11" s="147" t="s">
        <v>8213</v>
      </c>
      <c r="O11" s="34"/>
      <c r="P11" s="34"/>
      <c r="Q11" s="34"/>
      <c r="R11" s="34"/>
      <c r="S11" s="34"/>
    </row>
    <row r="12" spans="1:19" ht="16.350000000000001" customHeight="1">
      <c r="A12" s="16">
        <v>11</v>
      </c>
      <c r="B12" s="134" t="s">
        <v>5413</v>
      </c>
      <c r="C12" s="134" t="s">
        <v>7457</v>
      </c>
      <c r="D12" s="135">
        <v>9781522573272</v>
      </c>
      <c r="E12" s="135">
        <v>9781522573265</v>
      </c>
      <c r="F12" s="136" t="s">
        <v>8216</v>
      </c>
      <c r="G12" s="133">
        <v>1</v>
      </c>
      <c r="H12" s="134" t="s">
        <v>6518</v>
      </c>
      <c r="I12" s="134" t="s">
        <v>8217</v>
      </c>
      <c r="J12" s="134" t="s">
        <v>561</v>
      </c>
      <c r="K12" s="133">
        <v>2019</v>
      </c>
      <c r="L12" s="137" t="s">
        <v>7499</v>
      </c>
      <c r="M12" s="139"/>
      <c r="N12" s="147" t="s">
        <v>8218</v>
      </c>
      <c r="O12" s="34"/>
      <c r="P12" s="34"/>
      <c r="Q12" s="34"/>
      <c r="R12" s="34"/>
      <c r="S12" s="34"/>
    </row>
    <row r="13" spans="1:19" ht="16.350000000000001" customHeight="1">
      <c r="A13" s="16">
        <v>12</v>
      </c>
      <c r="B13" s="134" t="s">
        <v>5413</v>
      </c>
      <c r="C13" s="134" t="s">
        <v>7457</v>
      </c>
      <c r="D13" s="135">
        <v>9781522558774</v>
      </c>
      <c r="E13" s="135">
        <v>9781522558767</v>
      </c>
      <c r="F13" s="136" t="s">
        <v>8224</v>
      </c>
      <c r="G13" s="133">
        <v>1</v>
      </c>
      <c r="H13" s="134" t="s">
        <v>6518</v>
      </c>
      <c r="I13" s="134" t="s">
        <v>8225</v>
      </c>
      <c r="J13" s="134" t="s">
        <v>561</v>
      </c>
      <c r="K13" s="133">
        <v>2019</v>
      </c>
      <c r="L13" s="137" t="s">
        <v>7499</v>
      </c>
      <c r="M13" s="139"/>
      <c r="N13" s="147" t="s">
        <v>8226</v>
      </c>
      <c r="O13" s="34"/>
      <c r="P13" s="34"/>
      <c r="Q13" s="34"/>
      <c r="R13" s="34"/>
      <c r="S13" s="34"/>
    </row>
    <row r="14" spans="1:19" ht="16.350000000000001" customHeight="1">
      <c r="A14" s="16">
        <v>13</v>
      </c>
      <c r="B14" s="134" t="s">
        <v>5413</v>
      </c>
      <c r="C14" s="134" t="s">
        <v>8232</v>
      </c>
      <c r="D14" s="135">
        <v>9781522573883</v>
      </c>
      <c r="E14" s="135">
        <v>9781522573876</v>
      </c>
      <c r="F14" s="136" t="s">
        <v>8233</v>
      </c>
      <c r="G14" s="133">
        <v>1</v>
      </c>
      <c r="H14" s="134" t="s">
        <v>6518</v>
      </c>
      <c r="I14" s="134" t="s">
        <v>8234</v>
      </c>
      <c r="J14" s="134" t="s">
        <v>1233</v>
      </c>
      <c r="K14" s="133">
        <v>2019</v>
      </c>
      <c r="L14" s="137" t="s">
        <v>7499</v>
      </c>
      <c r="M14" s="139"/>
      <c r="N14" s="147" t="s">
        <v>8235</v>
      </c>
      <c r="O14" s="34"/>
      <c r="P14" s="34"/>
      <c r="Q14" s="34"/>
      <c r="R14" s="34"/>
      <c r="S14" s="34"/>
    </row>
    <row r="15" spans="1:19" ht="16.350000000000001" customHeight="1">
      <c r="A15" s="16">
        <v>14</v>
      </c>
      <c r="B15" s="134" t="s">
        <v>5413</v>
      </c>
      <c r="C15" s="134" t="s">
        <v>8236</v>
      </c>
      <c r="D15" s="135">
        <v>9781522579410</v>
      </c>
      <c r="E15" s="135">
        <v>9781522579403</v>
      </c>
      <c r="F15" s="136" t="s">
        <v>8237</v>
      </c>
      <c r="G15" s="133">
        <v>1</v>
      </c>
      <c r="H15" s="134" t="s">
        <v>6518</v>
      </c>
      <c r="I15" s="134" t="s">
        <v>6437</v>
      </c>
      <c r="J15" s="134" t="s">
        <v>1233</v>
      </c>
      <c r="K15" s="133">
        <v>2019</v>
      </c>
      <c r="L15" s="137" t="s">
        <v>7499</v>
      </c>
      <c r="M15" s="139"/>
      <c r="N15" s="147" t="s">
        <v>8238</v>
      </c>
      <c r="O15" s="34"/>
      <c r="P15" s="34"/>
      <c r="Q15" s="34"/>
      <c r="R15" s="34"/>
      <c r="S15" s="34"/>
    </row>
    <row r="16" spans="1:19" ht="16.350000000000001" customHeight="1">
      <c r="A16" s="16">
        <v>15</v>
      </c>
      <c r="B16" s="134" t="s">
        <v>5413</v>
      </c>
      <c r="C16" s="134" t="s">
        <v>7722</v>
      </c>
      <c r="D16" s="135">
        <v>9781522580645</v>
      </c>
      <c r="E16" s="135">
        <v>9781522580638</v>
      </c>
      <c r="F16" s="136" t="s">
        <v>8204</v>
      </c>
      <c r="G16" s="133">
        <v>1</v>
      </c>
      <c r="H16" s="134" t="s">
        <v>6518</v>
      </c>
      <c r="I16" s="134" t="s">
        <v>3446</v>
      </c>
      <c r="J16" s="134" t="s">
        <v>1233</v>
      </c>
      <c r="K16" s="133">
        <v>2019</v>
      </c>
      <c r="L16" s="137" t="s">
        <v>7499</v>
      </c>
      <c r="M16" s="139"/>
      <c r="N16" s="147" t="s">
        <v>8205</v>
      </c>
      <c r="O16" s="34"/>
      <c r="P16" s="34"/>
      <c r="Q16" s="34"/>
      <c r="R16" s="34"/>
      <c r="S16" s="34"/>
    </row>
    <row r="17" spans="1:19" ht="16.350000000000001" customHeight="1">
      <c r="A17" s="16">
        <v>16</v>
      </c>
      <c r="B17" s="134" t="s">
        <v>5413</v>
      </c>
      <c r="C17" s="134" t="s">
        <v>7722</v>
      </c>
      <c r="D17" s="135">
        <v>9781522579359</v>
      </c>
      <c r="E17" s="135">
        <v>9781522579342</v>
      </c>
      <c r="F17" s="136" t="s">
        <v>8209</v>
      </c>
      <c r="G17" s="133">
        <v>1</v>
      </c>
      <c r="H17" s="134" t="s">
        <v>6518</v>
      </c>
      <c r="I17" s="134" t="s">
        <v>8210</v>
      </c>
      <c r="J17" s="134" t="s">
        <v>1233</v>
      </c>
      <c r="K17" s="133">
        <v>2019</v>
      </c>
      <c r="L17" s="137" t="s">
        <v>7499</v>
      </c>
      <c r="M17" s="139"/>
      <c r="N17" s="147" t="s">
        <v>8211</v>
      </c>
      <c r="O17" s="34"/>
      <c r="P17" s="34"/>
      <c r="Q17" s="34"/>
      <c r="R17" s="34"/>
      <c r="S17" s="34"/>
    </row>
    <row r="18" spans="1:19" ht="16.350000000000001" customHeight="1">
      <c r="A18" s="16">
        <v>17</v>
      </c>
      <c r="B18" s="134" t="s">
        <v>5413</v>
      </c>
      <c r="C18" s="134" t="s">
        <v>7722</v>
      </c>
      <c r="D18" s="135">
        <v>9781522573517</v>
      </c>
      <c r="E18" s="135">
        <v>9781522573500</v>
      </c>
      <c r="F18" s="136" t="s">
        <v>8214</v>
      </c>
      <c r="G18" s="133">
        <v>1</v>
      </c>
      <c r="H18" s="134" t="s">
        <v>6518</v>
      </c>
      <c r="I18" s="134" t="s">
        <v>7883</v>
      </c>
      <c r="J18" s="134" t="s">
        <v>568</v>
      </c>
      <c r="K18" s="133">
        <v>2019</v>
      </c>
      <c r="L18" s="137" t="s">
        <v>7499</v>
      </c>
      <c r="M18" s="139"/>
      <c r="N18" s="147" t="s">
        <v>8215</v>
      </c>
      <c r="O18" s="34"/>
      <c r="P18" s="34"/>
      <c r="Q18" s="34"/>
      <c r="R18" s="34"/>
      <c r="S18" s="34"/>
    </row>
    <row r="19" spans="1:19" ht="16.350000000000001" customHeight="1">
      <c r="A19" s="16">
        <v>18</v>
      </c>
      <c r="B19" s="134" t="s">
        <v>5413</v>
      </c>
      <c r="C19" s="134" t="s">
        <v>7722</v>
      </c>
      <c r="D19" s="135">
        <v>9781522559108</v>
      </c>
      <c r="E19" s="135">
        <v>9781522559092</v>
      </c>
      <c r="F19" s="136" t="s">
        <v>8227</v>
      </c>
      <c r="G19" s="133">
        <v>1</v>
      </c>
      <c r="H19" s="134" t="s">
        <v>6518</v>
      </c>
      <c r="I19" s="134" t="s">
        <v>8228</v>
      </c>
      <c r="J19" s="134" t="s">
        <v>1233</v>
      </c>
      <c r="K19" s="133">
        <v>2019</v>
      </c>
      <c r="L19" s="137" t="s">
        <v>7499</v>
      </c>
      <c r="M19" s="139"/>
      <c r="N19" s="147" t="s">
        <v>8229</v>
      </c>
      <c r="O19" s="34"/>
      <c r="P19" s="34"/>
      <c r="Q19" s="34"/>
      <c r="R19" s="34"/>
      <c r="S19" s="34"/>
    </row>
    <row r="20" spans="1:19" ht="16.350000000000001" customHeight="1">
      <c r="A20" s="16">
        <v>19</v>
      </c>
      <c r="B20" s="134" t="s">
        <v>5413</v>
      </c>
      <c r="C20" s="134" t="s">
        <v>8201</v>
      </c>
      <c r="D20" s="135">
        <v>9781522556411</v>
      </c>
      <c r="E20" s="135">
        <v>9781522556404</v>
      </c>
      <c r="F20" s="136" t="s">
        <v>8202</v>
      </c>
      <c r="G20" s="133">
        <v>1</v>
      </c>
      <c r="H20" s="134" t="s">
        <v>6518</v>
      </c>
      <c r="I20" s="134" t="s">
        <v>3446</v>
      </c>
      <c r="J20" s="134" t="s">
        <v>561</v>
      </c>
      <c r="K20" s="133">
        <v>2018</v>
      </c>
      <c r="L20" s="137" t="s">
        <v>7499</v>
      </c>
      <c r="M20" s="139"/>
      <c r="N20" s="147" t="s">
        <v>8203</v>
      </c>
      <c r="O20" s="34"/>
      <c r="P20" s="34"/>
      <c r="Q20" s="34"/>
      <c r="R20" s="34"/>
      <c r="S20" s="34"/>
    </row>
    <row r="21" spans="1:19" ht="16.350000000000001" customHeight="1">
      <c r="A21" s="16">
        <v>20</v>
      </c>
      <c r="B21" s="134" t="s">
        <v>571</v>
      </c>
      <c r="C21" s="134" t="s">
        <v>7465</v>
      </c>
      <c r="D21" s="135">
        <v>9781522571391</v>
      </c>
      <c r="E21" s="135">
        <v>9781522571384</v>
      </c>
      <c r="F21" s="136" t="s">
        <v>8305</v>
      </c>
      <c r="G21" s="133">
        <v>1</v>
      </c>
      <c r="H21" s="134" t="s">
        <v>6518</v>
      </c>
      <c r="I21" s="134" t="s">
        <v>8306</v>
      </c>
      <c r="J21" s="134" t="s">
        <v>1233</v>
      </c>
      <c r="K21" s="133">
        <v>2019</v>
      </c>
      <c r="L21" s="137" t="s">
        <v>7499</v>
      </c>
      <c r="M21" s="139"/>
      <c r="N21" s="147" t="s">
        <v>8307</v>
      </c>
      <c r="O21" s="34"/>
      <c r="P21" s="34"/>
      <c r="Q21" s="34"/>
      <c r="R21" s="34"/>
      <c r="S21" s="34"/>
    </row>
    <row r="22" spans="1:19" ht="16.350000000000001" customHeight="1">
      <c r="A22" s="16">
        <v>21</v>
      </c>
      <c r="B22" s="134" t="s">
        <v>571</v>
      </c>
      <c r="C22" s="134" t="s">
        <v>7465</v>
      </c>
      <c r="D22" s="135">
        <v>9781522575962</v>
      </c>
      <c r="E22" s="135">
        <v>9781522575955</v>
      </c>
      <c r="F22" s="136" t="s">
        <v>8321</v>
      </c>
      <c r="G22" s="133">
        <v>1</v>
      </c>
      <c r="H22" s="134" t="s">
        <v>6518</v>
      </c>
      <c r="I22" s="134" t="s">
        <v>8322</v>
      </c>
      <c r="J22" s="134" t="s">
        <v>1233</v>
      </c>
      <c r="K22" s="133">
        <v>2019</v>
      </c>
      <c r="L22" s="137" t="s">
        <v>7499</v>
      </c>
      <c r="M22" s="139"/>
      <c r="N22" s="147" t="s">
        <v>8323</v>
      </c>
      <c r="O22" s="34"/>
      <c r="P22" s="34"/>
      <c r="Q22" s="34"/>
      <c r="R22" s="34"/>
      <c r="S22" s="34"/>
    </row>
    <row r="23" spans="1:19" ht="16.350000000000001" customHeight="1">
      <c r="A23" s="16">
        <v>22</v>
      </c>
      <c r="B23" s="134" t="s">
        <v>571</v>
      </c>
      <c r="C23" s="134" t="s">
        <v>7466</v>
      </c>
      <c r="D23" s="135">
        <v>9781522578390</v>
      </c>
      <c r="E23" s="135">
        <v>9781522578383</v>
      </c>
      <c r="F23" s="136" t="s">
        <v>8278</v>
      </c>
      <c r="G23" s="133">
        <v>1</v>
      </c>
      <c r="H23" s="134" t="s">
        <v>6518</v>
      </c>
      <c r="I23" s="134" t="s">
        <v>8279</v>
      </c>
      <c r="J23" s="134" t="s">
        <v>1233</v>
      </c>
      <c r="K23" s="133">
        <v>2019</v>
      </c>
      <c r="L23" s="137" t="s">
        <v>7499</v>
      </c>
      <c r="M23" s="139"/>
      <c r="N23" s="147" t="s">
        <v>8280</v>
      </c>
      <c r="O23" s="34"/>
      <c r="P23" s="34"/>
      <c r="Q23" s="34"/>
      <c r="R23" s="34"/>
      <c r="S23" s="34"/>
    </row>
    <row r="24" spans="1:19" ht="16.350000000000001" customHeight="1">
      <c r="A24" s="16">
        <v>23</v>
      </c>
      <c r="B24" s="134" t="s">
        <v>571</v>
      </c>
      <c r="C24" s="134" t="s">
        <v>7466</v>
      </c>
      <c r="D24" s="135">
        <v>9781522554073</v>
      </c>
      <c r="E24" s="135">
        <v>9781522554066</v>
      </c>
      <c r="F24" s="136" t="s">
        <v>8330</v>
      </c>
      <c r="G24" s="133">
        <v>1</v>
      </c>
      <c r="H24" s="134" t="s">
        <v>6518</v>
      </c>
      <c r="I24" s="134" t="s">
        <v>8331</v>
      </c>
      <c r="J24" s="134" t="s">
        <v>1233</v>
      </c>
      <c r="K24" s="133">
        <v>2019</v>
      </c>
      <c r="L24" s="137" t="s">
        <v>7499</v>
      </c>
      <c r="M24" s="139"/>
      <c r="N24" s="147" t="s">
        <v>8332</v>
      </c>
      <c r="O24" s="34"/>
      <c r="P24" s="34"/>
      <c r="Q24" s="34"/>
      <c r="R24" s="34"/>
      <c r="S24" s="34"/>
    </row>
    <row r="25" spans="1:19" ht="16.350000000000001" customHeight="1">
      <c r="A25" s="16">
        <v>24</v>
      </c>
      <c r="B25" s="134" t="s">
        <v>571</v>
      </c>
      <c r="C25" s="134" t="s">
        <v>7466</v>
      </c>
      <c r="D25" s="135">
        <v>9781522569695</v>
      </c>
      <c r="E25" s="135">
        <v>9781522569688</v>
      </c>
      <c r="F25" s="136" t="s">
        <v>8411</v>
      </c>
      <c r="G25" s="133">
        <v>1</v>
      </c>
      <c r="H25" s="134" t="s">
        <v>6518</v>
      </c>
      <c r="I25" s="134" t="s">
        <v>8412</v>
      </c>
      <c r="J25" s="134" t="s">
        <v>1233</v>
      </c>
      <c r="K25" s="133">
        <v>2019</v>
      </c>
      <c r="L25" s="137" t="s">
        <v>7499</v>
      </c>
      <c r="M25" s="139"/>
      <c r="N25" s="147" t="s">
        <v>8413</v>
      </c>
      <c r="O25" s="34"/>
      <c r="P25" s="34"/>
      <c r="Q25" s="34"/>
      <c r="R25" s="34"/>
      <c r="S25" s="34"/>
    </row>
    <row r="26" spans="1:19" ht="16.350000000000001" customHeight="1">
      <c r="A26" s="16">
        <v>25</v>
      </c>
      <c r="B26" s="134" t="s">
        <v>571</v>
      </c>
      <c r="C26" s="134" t="s">
        <v>8475</v>
      </c>
      <c r="D26" s="135">
        <v>9781522578956</v>
      </c>
      <c r="E26" s="135">
        <v>9781522578949</v>
      </c>
      <c r="F26" s="136" t="s">
        <v>8476</v>
      </c>
      <c r="G26" s="133">
        <v>1</v>
      </c>
      <c r="H26" s="134" t="s">
        <v>6518</v>
      </c>
      <c r="I26" s="134" t="s">
        <v>8477</v>
      </c>
      <c r="J26" s="134" t="s">
        <v>1233</v>
      </c>
      <c r="K26" s="133">
        <v>2019</v>
      </c>
      <c r="L26" s="137" t="s">
        <v>7499</v>
      </c>
      <c r="M26" s="139"/>
      <c r="N26" s="147" t="s">
        <v>8478</v>
      </c>
      <c r="O26" s="34"/>
      <c r="P26" s="34"/>
      <c r="Q26" s="34"/>
      <c r="R26" s="34"/>
      <c r="S26" s="34"/>
    </row>
    <row r="27" spans="1:19" ht="16.350000000000001" customHeight="1">
      <c r="A27" s="16">
        <v>26</v>
      </c>
      <c r="B27" s="134" t="s">
        <v>571</v>
      </c>
      <c r="C27" s="134" t="s">
        <v>7467</v>
      </c>
      <c r="D27" s="135">
        <v>9781466661592</v>
      </c>
      <c r="E27" s="135">
        <v>9781466661585</v>
      </c>
      <c r="F27" s="136" t="s">
        <v>8245</v>
      </c>
      <c r="G27" s="133">
        <v>1</v>
      </c>
      <c r="H27" s="134" t="s">
        <v>6518</v>
      </c>
      <c r="I27" s="134" t="s">
        <v>8246</v>
      </c>
      <c r="J27" s="134" t="s">
        <v>569</v>
      </c>
      <c r="K27" s="133">
        <v>2014</v>
      </c>
      <c r="L27" s="137" t="s">
        <v>7499</v>
      </c>
      <c r="M27" s="139"/>
      <c r="N27" s="147" t="s">
        <v>8247</v>
      </c>
      <c r="O27" s="34"/>
      <c r="P27" s="34"/>
      <c r="Q27" s="34"/>
      <c r="R27" s="34"/>
      <c r="S27" s="34"/>
    </row>
    <row r="28" spans="1:19" ht="16.350000000000001" customHeight="1">
      <c r="A28" s="16">
        <v>27</v>
      </c>
      <c r="B28" s="134" t="s">
        <v>571</v>
      </c>
      <c r="C28" s="134" t="s">
        <v>7467</v>
      </c>
      <c r="D28" s="135">
        <v>9781466685147</v>
      </c>
      <c r="E28" s="135">
        <v>9781466685130</v>
      </c>
      <c r="F28" s="136" t="s">
        <v>8248</v>
      </c>
      <c r="G28" s="133">
        <v>1</v>
      </c>
      <c r="H28" s="134" t="s">
        <v>6518</v>
      </c>
      <c r="I28" s="134" t="s">
        <v>8249</v>
      </c>
      <c r="J28" s="134" t="s">
        <v>569</v>
      </c>
      <c r="K28" s="133">
        <v>2015</v>
      </c>
      <c r="L28" s="137" t="s">
        <v>7499</v>
      </c>
      <c r="M28" s="139"/>
      <c r="N28" s="147" t="s">
        <v>8250</v>
      </c>
      <c r="O28" s="34"/>
      <c r="P28" s="34"/>
      <c r="Q28" s="34"/>
      <c r="R28" s="34"/>
      <c r="S28" s="34"/>
    </row>
    <row r="29" spans="1:19" ht="16.350000000000001" customHeight="1">
      <c r="A29" s="16">
        <v>28</v>
      </c>
      <c r="B29" s="134" t="s">
        <v>571</v>
      </c>
      <c r="C29" s="134" t="s">
        <v>7467</v>
      </c>
      <c r="D29" s="135">
        <v>9781522517771</v>
      </c>
      <c r="E29" s="135">
        <v>9781522517764</v>
      </c>
      <c r="F29" s="136" t="s">
        <v>8251</v>
      </c>
      <c r="G29" s="133">
        <v>1</v>
      </c>
      <c r="H29" s="134" t="s">
        <v>6518</v>
      </c>
      <c r="I29" s="134" t="s">
        <v>5648</v>
      </c>
      <c r="J29" s="134" t="s">
        <v>569</v>
      </c>
      <c r="K29" s="133">
        <v>2017</v>
      </c>
      <c r="L29" s="137" t="s">
        <v>7499</v>
      </c>
      <c r="M29" s="139"/>
      <c r="N29" s="147" t="s">
        <v>8252</v>
      </c>
      <c r="O29" s="34"/>
      <c r="P29" s="34"/>
      <c r="Q29" s="34"/>
      <c r="R29" s="34"/>
      <c r="S29" s="34"/>
    </row>
    <row r="30" spans="1:19" ht="16.350000000000001" customHeight="1">
      <c r="A30" s="16">
        <v>29</v>
      </c>
      <c r="B30" s="134" t="s">
        <v>571</v>
      </c>
      <c r="C30" s="134" t="s">
        <v>7467</v>
      </c>
      <c r="D30" s="135">
        <v>9781522508090</v>
      </c>
      <c r="E30" s="135">
        <v>9781522508083</v>
      </c>
      <c r="F30" s="136" t="s">
        <v>8253</v>
      </c>
      <c r="G30" s="133">
        <v>1</v>
      </c>
      <c r="H30" s="134" t="s">
        <v>6518</v>
      </c>
      <c r="I30" s="134" t="s">
        <v>3446</v>
      </c>
      <c r="J30" s="134" t="s">
        <v>569</v>
      </c>
      <c r="K30" s="133">
        <v>2017</v>
      </c>
      <c r="L30" s="137" t="s">
        <v>7499</v>
      </c>
      <c r="M30" s="139"/>
      <c r="N30" s="147" t="s">
        <v>8254</v>
      </c>
      <c r="O30" s="34"/>
      <c r="P30" s="34"/>
      <c r="Q30" s="34"/>
      <c r="R30" s="34"/>
      <c r="S30" s="34"/>
    </row>
    <row r="31" spans="1:19" ht="16.350000000000001" customHeight="1">
      <c r="A31" s="16">
        <v>30</v>
      </c>
      <c r="B31" s="134" t="s">
        <v>571</v>
      </c>
      <c r="C31" s="134" t="s">
        <v>7467</v>
      </c>
      <c r="D31" s="135">
        <v>9781522507154</v>
      </c>
      <c r="E31" s="135">
        <v>9781522507147</v>
      </c>
      <c r="F31" s="136" t="s">
        <v>8255</v>
      </c>
      <c r="G31" s="133">
        <v>1</v>
      </c>
      <c r="H31" s="134" t="s">
        <v>6518</v>
      </c>
      <c r="I31" s="134" t="s">
        <v>8256</v>
      </c>
      <c r="J31" s="134" t="s">
        <v>569</v>
      </c>
      <c r="K31" s="133">
        <v>2017</v>
      </c>
      <c r="L31" s="137" t="s">
        <v>7499</v>
      </c>
      <c r="M31" s="139"/>
      <c r="N31" s="147" t="s">
        <v>8257</v>
      </c>
      <c r="O31" s="34"/>
      <c r="P31" s="34"/>
      <c r="Q31" s="34"/>
      <c r="R31" s="34"/>
      <c r="S31" s="34"/>
    </row>
    <row r="32" spans="1:19" ht="16.350000000000001" customHeight="1">
      <c r="A32" s="16">
        <v>31</v>
      </c>
      <c r="B32" s="134" t="s">
        <v>571</v>
      </c>
      <c r="C32" s="134" t="s">
        <v>7467</v>
      </c>
      <c r="D32" s="135">
        <v>9781522553977</v>
      </c>
      <c r="E32" s="135">
        <v>9781522553960</v>
      </c>
      <c r="F32" s="136" t="s">
        <v>8258</v>
      </c>
      <c r="G32" s="133">
        <v>1</v>
      </c>
      <c r="H32" s="134" t="s">
        <v>6518</v>
      </c>
      <c r="I32" s="134" t="s">
        <v>7296</v>
      </c>
      <c r="J32" s="134" t="s">
        <v>1233</v>
      </c>
      <c r="K32" s="133">
        <v>2018</v>
      </c>
      <c r="L32" s="137" t="s">
        <v>7499</v>
      </c>
      <c r="M32" s="139"/>
      <c r="N32" s="147" t="s">
        <v>8259</v>
      </c>
      <c r="O32" s="34"/>
      <c r="P32" s="34"/>
      <c r="Q32" s="34"/>
      <c r="R32" s="34"/>
      <c r="S32" s="34"/>
    </row>
    <row r="33" spans="1:19" ht="16.350000000000001" customHeight="1">
      <c r="A33" s="16">
        <v>32</v>
      </c>
      <c r="B33" s="134" t="s">
        <v>571</v>
      </c>
      <c r="C33" s="134" t="s">
        <v>7467</v>
      </c>
      <c r="D33" s="135">
        <v>9781522560302</v>
      </c>
      <c r="E33" s="135">
        <v>9781522560296</v>
      </c>
      <c r="F33" s="136" t="s">
        <v>8260</v>
      </c>
      <c r="G33" s="133">
        <v>1</v>
      </c>
      <c r="H33" s="134" t="s">
        <v>6518</v>
      </c>
      <c r="I33" s="134" t="s">
        <v>8261</v>
      </c>
      <c r="J33" s="134" t="s">
        <v>1233</v>
      </c>
      <c r="K33" s="133">
        <v>2018</v>
      </c>
      <c r="L33" s="137" t="s">
        <v>7499</v>
      </c>
      <c r="M33" s="139"/>
      <c r="N33" s="147" t="s">
        <v>8262</v>
      </c>
      <c r="O33" s="34"/>
      <c r="P33" s="34"/>
      <c r="Q33" s="34"/>
      <c r="R33" s="34"/>
      <c r="S33" s="34"/>
    </row>
    <row r="34" spans="1:19" ht="16.350000000000001" customHeight="1">
      <c r="A34" s="16">
        <v>33</v>
      </c>
      <c r="B34" s="134" t="s">
        <v>571</v>
      </c>
      <c r="C34" s="134" t="s">
        <v>7467</v>
      </c>
      <c r="D34" s="135">
        <v>9781522540458</v>
      </c>
      <c r="E34" s="135">
        <v>9781522540441</v>
      </c>
      <c r="F34" s="136" t="s">
        <v>8263</v>
      </c>
      <c r="G34" s="133">
        <v>1</v>
      </c>
      <c r="H34" s="134" t="s">
        <v>6518</v>
      </c>
      <c r="I34" s="134" t="s">
        <v>8264</v>
      </c>
      <c r="J34" s="134" t="s">
        <v>1233</v>
      </c>
      <c r="K34" s="133">
        <v>2018</v>
      </c>
      <c r="L34" s="137" t="s">
        <v>7499</v>
      </c>
      <c r="M34" s="139"/>
      <c r="N34" s="147" t="s">
        <v>8265</v>
      </c>
      <c r="O34" s="34"/>
      <c r="P34" s="34"/>
      <c r="Q34" s="34"/>
      <c r="R34" s="34"/>
      <c r="S34" s="34"/>
    </row>
    <row r="35" spans="1:19" ht="16.350000000000001" customHeight="1">
      <c r="A35" s="16">
        <v>34</v>
      </c>
      <c r="B35" s="134" t="s">
        <v>571</v>
      </c>
      <c r="C35" s="134" t="s">
        <v>7467</v>
      </c>
      <c r="D35" s="135">
        <v>9781522547679</v>
      </c>
      <c r="E35" s="135">
        <v>9781522547662</v>
      </c>
      <c r="F35" s="136" t="s">
        <v>8266</v>
      </c>
      <c r="G35" s="133">
        <v>1</v>
      </c>
      <c r="H35" s="134" t="s">
        <v>6518</v>
      </c>
      <c r="I35" s="134" t="s">
        <v>8267</v>
      </c>
      <c r="J35" s="134" t="s">
        <v>1233</v>
      </c>
      <c r="K35" s="133">
        <v>2018</v>
      </c>
      <c r="L35" s="137" t="s">
        <v>7499</v>
      </c>
      <c r="M35" s="139"/>
      <c r="N35" s="147" t="s">
        <v>8268</v>
      </c>
      <c r="O35" s="34"/>
      <c r="P35" s="34"/>
      <c r="Q35" s="34"/>
      <c r="R35" s="34"/>
      <c r="S35" s="34"/>
    </row>
    <row r="36" spans="1:19" ht="16.350000000000001" customHeight="1">
      <c r="A36" s="16">
        <v>35</v>
      </c>
      <c r="B36" s="134" t="s">
        <v>571</v>
      </c>
      <c r="C36" s="134" t="s">
        <v>7467</v>
      </c>
      <c r="D36" s="135">
        <v>9781522552628</v>
      </c>
      <c r="E36" s="135">
        <v>9781522552611</v>
      </c>
      <c r="F36" s="136" t="s">
        <v>8272</v>
      </c>
      <c r="G36" s="133">
        <v>1</v>
      </c>
      <c r="H36" s="134" t="s">
        <v>6518</v>
      </c>
      <c r="I36" s="134" t="s">
        <v>8273</v>
      </c>
      <c r="J36" s="134" t="s">
        <v>1233</v>
      </c>
      <c r="K36" s="133">
        <v>2018</v>
      </c>
      <c r="L36" s="137" t="s">
        <v>7499</v>
      </c>
      <c r="M36" s="139"/>
      <c r="N36" s="147" t="s">
        <v>8274</v>
      </c>
      <c r="O36" s="34"/>
      <c r="P36" s="34"/>
      <c r="Q36" s="34"/>
      <c r="R36" s="34"/>
      <c r="S36" s="34"/>
    </row>
    <row r="37" spans="1:19" ht="16.350000000000001" customHeight="1">
      <c r="A37" s="16">
        <v>36</v>
      </c>
      <c r="B37" s="134" t="s">
        <v>571</v>
      </c>
      <c r="C37" s="134" t="s">
        <v>7467</v>
      </c>
      <c r="D37" s="135">
        <v>9781522581772</v>
      </c>
      <c r="E37" s="135">
        <v>9781522581765</v>
      </c>
      <c r="F37" s="136" t="s">
        <v>8281</v>
      </c>
      <c r="G37" s="133">
        <v>1</v>
      </c>
      <c r="H37" s="134" t="s">
        <v>6518</v>
      </c>
      <c r="I37" s="134" t="s">
        <v>3446</v>
      </c>
      <c r="J37" s="134" t="s">
        <v>1233</v>
      </c>
      <c r="K37" s="133">
        <v>2019</v>
      </c>
      <c r="L37" s="137" t="s">
        <v>7499</v>
      </c>
      <c r="M37" s="138" t="s">
        <v>8282</v>
      </c>
      <c r="N37" s="147" t="s">
        <v>8283</v>
      </c>
      <c r="O37" s="34"/>
      <c r="P37" s="34"/>
      <c r="Q37" s="34"/>
      <c r="R37" s="34"/>
      <c r="S37" s="34"/>
    </row>
    <row r="38" spans="1:19" ht="16.350000000000001" customHeight="1">
      <c r="A38" s="16">
        <v>37</v>
      </c>
      <c r="B38" s="134" t="s">
        <v>571</v>
      </c>
      <c r="C38" s="134" t="s">
        <v>7467</v>
      </c>
      <c r="D38" s="135">
        <v>9781522574330</v>
      </c>
      <c r="E38" s="135">
        <v>9781522574323</v>
      </c>
      <c r="F38" s="136" t="s">
        <v>8284</v>
      </c>
      <c r="G38" s="133">
        <v>1</v>
      </c>
      <c r="H38" s="134" t="s">
        <v>6518</v>
      </c>
      <c r="I38" s="134" t="s">
        <v>8285</v>
      </c>
      <c r="J38" s="134" t="s">
        <v>1233</v>
      </c>
      <c r="K38" s="133">
        <v>2019</v>
      </c>
      <c r="L38" s="137" t="s">
        <v>7499</v>
      </c>
      <c r="M38" s="139"/>
      <c r="N38" s="147" t="s">
        <v>8286</v>
      </c>
      <c r="O38" s="34"/>
      <c r="P38" s="34"/>
      <c r="Q38" s="34"/>
      <c r="R38" s="34"/>
      <c r="S38" s="34"/>
    </row>
    <row r="39" spans="1:19" ht="16.350000000000001" customHeight="1">
      <c r="A39" s="16">
        <v>38</v>
      </c>
      <c r="B39" s="134" t="s">
        <v>571</v>
      </c>
      <c r="C39" s="134" t="s">
        <v>7467</v>
      </c>
      <c r="D39" s="135">
        <v>9781522579250</v>
      </c>
      <c r="E39" s="135">
        <v>9781522579243</v>
      </c>
      <c r="F39" s="136" t="s">
        <v>8287</v>
      </c>
      <c r="G39" s="133">
        <v>1</v>
      </c>
      <c r="H39" s="134" t="s">
        <v>6518</v>
      </c>
      <c r="I39" s="134" t="s">
        <v>8288</v>
      </c>
      <c r="J39" s="134" t="s">
        <v>569</v>
      </c>
      <c r="K39" s="133">
        <v>2019</v>
      </c>
      <c r="L39" s="137" t="s">
        <v>7499</v>
      </c>
      <c r="M39" s="139"/>
      <c r="N39" s="147" t="s">
        <v>8289</v>
      </c>
      <c r="O39" s="34"/>
      <c r="P39" s="34"/>
      <c r="Q39" s="34"/>
      <c r="R39" s="34"/>
      <c r="S39" s="34"/>
    </row>
    <row r="40" spans="1:19" ht="16.350000000000001" customHeight="1">
      <c r="A40" s="16">
        <v>39</v>
      </c>
      <c r="B40" s="134" t="s">
        <v>571</v>
      </c>
      <c r="C40" s="134" t="s">
        <v>7467</v>
      </c>
      <c r="D40" s="135">
        <v>9781522573548</v>
      </c>
      <c r="E40" s="135">
        <v>9781522573531</v>
      </c>
      <c r="F40" s="136" t="s">
        <v>8290</v>
      </c>
      <c r="G40" s="133">
        <v>1</v>
      </c>
      <c r="H40" s="134" t="s">
        <v>6518</v>
      </c>
      <c r="I40" s="134" t="s">
        <v>8291</v>
      </c>
      <c r="J40" s="134" t="s">
        <v>1233</v>
      </c>
      <c r="K40" s="133">
        <v>2019</v>
      </c>
      <c r="L40" s="137" t="s">
        <v>7499</v>
      </c>
      <c r="M40" s="139"/>
      <c r="N40" s="147" t="s">
        <v>8292</v>
      </c>
      <c r="O40" s="34"/>
      <c r="P40" s="34"/>
      <c r="Q40" s="34"/>
      <c r="R40" s="34"/>
      <c r="S40" s="34"/>
    </row>
    <row r="41" spans="1:19" ht="16.350000000000001" customHeight="1">
      <c r="A41" s="16">
        <v>40</v>
      </c>
      <c r="B41" s="134" t="s">
        <v>571</v>
      </c>
      <c r="C41" s="134" t="s">
        <v>7467</v>
      </c>
      <c r="D41" s="135">
        <v>9781522575207</v>
      </c>
      <c r="E41" s="135">
        <v>9781522575191</v>
      </c>
      <c r="F41" s="136" t="s">
        <v>8293</v>
      </c>
      <c r="G41" s="133">
        <v>1</v>
      </c>
      <c r="H41" s="134" t="s">
        <v>6518</v>
      </c>
      <c r="I41" s="134" t="s">
        <v>8294</v>
      </c>
      <c r="J41" s="134" t="s">
        <v>1233</v>
      </c>
      <c r="K41" s="133">
        <v>2019</v>
      </c>
      <c r="L41" s="137" t="s">
        <v>7499</v>
      </c>
      <c r="M41" s="139"/>
      <c r="N41" s="147" t="s">
        <v>8295</v>
      </c>
      <c r="O41" s="34"/>
      <c r="P41" s="34"/>
      <c r="Q41" s="34"/>
      <c r="R41" s="34"/>
      <c r="S41" s="34"/>
    </row>
    <row r="42" spans="1:19" ht="16.350000000000001" customHeight="1">
      <c r="A42" s="16">
        <v>41</v>
      </c>
      <c r="B42" s="134" t="s">
        <v>571</v>
      </c>
      <c r="C42" s="134" t="s">
        <v>7467</v>
      </c>
      <c r="D42" s="135">
        <v>9781522577911</v>
      </c>
      <c r="E42" s="135">
        <v>9781522577904</v>
      </c>
      <c r="F42" s="136" t="s">
        <v>8296</v>
      </c>
      <c r="G42" s="133">
        <v>1</v>
      </c>
      <c r="H42" s="134" t="s">
        <v>6518</v>
      </c>
      <c r="I42" s="134" t="s">
        <v>8297</v>
      </c>
      <c r="J42" s="134" t="s">
        <v>1233</v>
      </c>
      <c r="K42" s="133">
        <v>2019</v>
      </c>
      <c r="L42" s="137" t="s">
        <v>7499</v>
      </c>
      <c r="M42" s="139"/>
      <c r="N42" s="147" t="s">
        <v>8298</v>
      </c>
      <c r="O42" s="34"/>
      <c r="P42" s="34"/>
      <c r="Q42" s="34"/>
      <c r="R42" s="34"/>
      <c r="S42" s="34"/>
    </row>
    <row r="43" spans="1:19" ht="16.350000000000001" customHeight="1">
      <c r="A43" s="16">
        <v>42</v>
      </c>
      <c r="B43" s="134" t="s">
        <v>571</v>
      </c>
      <c r="C43" s="134" t="s">
        <v>7467</v>
      </c>
      <c r="D43" s="135">
        <v>9781522557432</v>
      </c>
      <c r="E43" s="135">
        <v>9781522557425</v>
      </c>
      <c r="F43" s="136" t="s">
        <v>8302</v>
      </c>
      <c r="G43" s="133">
        <v>1</v>
      </c>
      <c r="H43" s="134" t="s">
        <v>6518</v>
      </c>
      <c r="I43" s="134" t="s">
        <v>8303</v>
      </c>
      <c r="J43" s="134" t="s">
        <v>569</v>
      </c>
      <c r="K43" s="133">
        <v>2019</v>
      </c>
      <c r="L43" s="137" t="s">
        <v>7499</v>
      </c>
      <c r="M43" s="139"/>
      <c r="N43" s="147" t="s">
        <v>8304</v>
      </c>
      <c r="O43" s="34"/>
      <c r="P43" s="34"/>
      <c r="Q43" s="34"/>
      <c r="R43" s="34"/>
      <c r="S43" s="34"/>
    </row>
    <row r="44" spans="1:19" ht="16.350000000000001" customHeight="1">
      <c r="A44" s="16">
        <v>43</v>
      </c>
      <c r="B44" s="134" t="s">
        <v>571</v>
      </c>
      <c r="C44" s="134" t="s">
        <v>7467</v>
      </c>
      <c r="D44" s="135">
        <v>9781522574569</v>
      </c>
      <c r="E44" s="135">
        <v>9781522574552</v>
      </c>
      <c r="F44" s="136" t="s">
        <v>8308</v>
      </c>
      <c r="G44" s="133">
        <v>1</v>
      </c>
      <c r="H44" s="134" t="s">
        <v>6518</v>
      </c>
      <c r="I44" s="134" t="s">
        <v>8309</v>
      </c>
      <c r="J44" s="134" t="s">
        <v>1233</v>
      </c>
      <c r="K44" s="133">
        <v>2019</v>
      </c>
      <c r="L44" s="137" t="s">
        <v>7499</v>
      </c>
      <c r="M44" s="139"/>
      <c r="N44" s="147" t="s">
        <v>8310</v>
      </c>
      <c r="O44" s="34"/>
      <c r="P44" s="34"/>
      <c r="Q44" s="34"/>
      <c r="R44" s="34"/>
      <c r="S44" s="34"/>
    </row>
    <row r="45" spans="1:19" ht="16.350000000000001" customHeight="1">
      <c r="A45" s="16">
        <v>44</v>
      </c>
      <c r="B45" s="134" t="s">
        <v>571</v>
      </c>
      <c r="C45" s="134" t="s">
        <v>7467</v>
      </c>
      <c r="D45" s="135">
        <v>9781522531838</v>
      </c>
      <c r="E45" s="135">
        <v>9781522531821</v>
      </c>
      <c r="F45" s="136" t="s">
        <v>8314</v>
      </c>
      <c r="G45" s="133">
        <v>1</v>
      </c>
      <c r="H45" s="134" t="s">
        <v>6518</v>
      </c>
      <c r="I45" s="134" t="s">
        <v>5369</v>
      </c>
      <c r="J45" s="134" t="s">
        <v>1233</v>
      </c>
      <c r="K45" s="133">
        <v>2019</v>
      </c>
      <c r="L45" s="137" t="s">
        <v>7499</v>
      </c>
      <c r="M45" s="139"/>
      <c r="N45" s="147" t="s">
        <v>8315</v>
      </c>
      <c r="O45" s="34"/>
      <c r="P45" s="34"/>
      <c r="Q45" s="34"/>
      <c r="R45" s="34"/>
      <c r="S45" s="34"/>
    </row>
    <row r="46" spans="1:19" ht="16.350000000000001" customHeight="1">
      <c r="A46" s="16">
        <v>45</v>
      </c>
      <c r="B46" s="134" t="s">
        <v>571</v>
      </c>
      <c r="C46" s="134" t="s">
        <v>7467</v>
      </c>
      <c r="D46" s="135">
        <v>9781522557944</v>
      </c>
      <c r="E46" s="135">
        <v>9781522557937</v>
      </c>
      <c r="F46" s="136" t="s">
        <v>8316</v>
      </c>
      <c r="G46" s="133">
        <v>1</v>
      </c>
      <c r="H46" s="134" t="s">
        <v>6518</v>
      </c>
      <c r="I46" s="134" t="s">
        <v>6244</v>
      </c>
      <c r="J46" s="134" t="s">
        <v>1233</v>
      </c>
      <c r="K46" s="133">
        <v>2019</v>
      </c>
      <c r="L46" s="137" t="s">
        <v>7499</v>
      </c>
      <c r="M46" s="139"/>
      <c r="N46" s="147" t="s">
        <v>8317</v>
      </c>
      <c r="O46" s="34"/>
      <c r="P46" s="34"/>
      <c r="Q46" s="34"/>
      <c r="R46" s="34"/>
      <c r="S46" s="34"/>
    </row>
    <row r="47" spans="1:19" ht="16.350000000000001" customHeight="1">
      <c r="A47" s="16">
        <v>46</v>
      </c>
      <c r="B47" s="134" t="s">
        <v>571</v>
      </c>
      <c r="C47" s="134" t="s">
        <v>7467</v>
      </c>
      <c r="D47" s="135">
        <v>9781522562115</v>
      </c>
      <c r="E47" s="135">
        <v>9781522562108</v>
      </c>
      <c r="F47" s="136" t="s">
        <v>8318</v>
      </c>
      <c r="G47" s="133">
        <v>1</v>
      </c>
      <c r="H47" s="134" t="s">
        <v>6518</v>
      </c>
      <c r="I47" s="134" t="s">
        <v>8319</v>
      </c>
      <c r="J47" s="134" t="s">
        <v>1233</v>
      </c>
      <c r="K47" s="133">
        <v>2019</v>
      </c>
      <c r="L47" s="137" t="s">
        <v>7499</v>
      </c>
      <c r="M47" s="139"/>
      <c r="N47" s="147" t="s">
        <v>8320</v>
      </c>
      <c r="O47" s="34"/>
      <c r="P47" s="34"/>
      <c r="Q47" s="34"/>
      <c r="R47" s="34"/>
      <c r="S47" s="34"/>
    </row>
    <row r="48" spans="1:19" ht="16.350000000000001" customHeight="1">
      <c r="A48" s="16">
        <v>47</v>
      </c>
      <c r="B48" s="134" t="s">
        <v>571</v>
      </c>
      <c r="C48" s="134" t="s">
        <v>7467</v>
      </c>
      <c r="D48" s="135">
        <v>9781522576297</v>
      </c>
      <c r="E48" s="135">
        <v>9781522576280</v>
      </c>
      <c r="F48" s="136" t="s">
        <v>8324</v>
      </c>
      <c r="G48" s="133">
        <v>1</v>
      </c>
      <c r="H48" s="134" t="s">
        <v>6518</v>
      </c>
      <c r="I48" s="134" t="s">
        <v>8325</v>
      </c>
      <c r="J48" s="134" t="s">
        <v>569</v>
      </c>
      <c r="K48" s="133">
        <v>2019</v>
      </c>
      <c r="L48" s="137" t="s">
        <v>7499</v>
      </c>
      <c r="M48" s="139"/>
      <c r="N48" s="147" t="s">
        <v>8326</v>
      </c>
      <c r="O48" s="34"/>
      <c r="P48" s="34"/>
      <c r="Q48" s="34"/>
      <c r="R48" s="34"/>
      <c r="S48" s="34"/>
    </row>
    <row r="49" spans="1:19" ht="16.350000000000001" customHeight="1">
      <c r="A49" s="16">
        <v>48</v>
      </c>
      <c r="B49" s="134" t="s">
        <v>571</v>
      </c>
      <c r="C49" s="134" t="s">
        <v>7467</v>
      </c>
      <c r="D49" s="135">
        <v>9781522551386</v>
      </c>
      <c r="E49" s="135">
        <v>9781522551379</v>
      </c>
      <c r="F49" s="136" t="s">
        <v>8327</v>
      </c>
      <c r="G49" s="133">
        <v>1</v>
      </c>
      <c r="H49" s="134" t="s">
        <v>6518</v>
      </c>
      <c r="I49" s="134" t="s">
        <v>8328</v>
      </c>
      <c r="J49" s="134" t="s">
        <v>1233</v>
      </c>
      <c r="K49" s="133">
        <v>2019</v>
      </c>
      <c r="L49" s="137" t="s">
        <v>7499</v>
      </c>
      <c r="M49" s="139"/>
      <c r="N49" s="147" t="s">
        <v>8329</v>
      </c>
      <c r="O49" s="34"/>
      <c r="P49" s="34"/>
      <c r="Q49" s="34"/>
      <c r="R49" s="34"/>
      <c r="S49" s="34"/>
    </row>
    <row r="50" spans="1:19" ht="16.350000000000001" customHeight="1">
      <c r="A50" s="16">
        <v>49</v>
      </c>
      <c r="B50" s="134" t="s">
        <v>571</v>
      </c>
      <c r="C50" s="134" t="s">
        <v>7467</v>
      </c>
      <c r="D50" s="135">
        <v>9781522571506</v>
      </c>
      <c r="E50" s="135">
        <v>9781522571490</v>
      </c>
      <c r="F50" s="136" t="s">
        <v>8333</v>
      </c>
      <c r="G50" s="133">
        <v>1</v>
      </c>
      <c r="H50" s="134" t="s">
        <v>6518</v>
      </c>
      <c r="I50" s="134" t="s">
        <v>5661</v>
      </c>
      <c r="J50" s="134" t="s">
        <v>1233</v>
      </c>
      <c r="K50" s="133">
        <v>2019</v>
      </c>
      <c r="L50" s="137" t="s">
        <v>7499</v>
      </c>
      <c r="M50" s="139"/>
      <c r="N50" s="147" t="s">
        <v>8334</v>
      </c>
      <c r="O50" s="34"/>
      <c r="P50" s="34"/>
      <c r="Q50" s="34"/>
      <c r="R50" s="34"/>
      <c r="S50" s="34"/>
    </row>
    <row r="51" spans="1:19" ht="16.350000000000001" customHeight="1">
      <c r="A51" s="16">
        <v>50</v>
      </c>
      <c r="B51" s="134" t="s">
        <v>571</v>
      </c>
      <c r="C51" s="134" t="s">
        <v>7467</v>
      </c>
      <c r="D51" s="135">
        <v>9781522537915</v>
      </c>
      <c r="E51" s="135">
        <v>9781522537908</v>
      </c>
      <c r="F51" s="136" t="s">
        <v>8338</v>
      </c>
      <c r="G51" s="133">
        <v>1</v>
      </c>
      <c r="H51" s="134" t="s">
        <v>6518</v>
      </c>
      <c r="I51" s="134" t="s">
        <v>8339</v>
      </c>
      <c r="J51" s="134" t="s">
        <v>1233</v>
      </c>
      <c r="K51" s="133">
        <v>2019</v>
      </c>
      <c r="L51" s="137" t="s">
        <v>7499</v>
      </c>
      <c r="M51" s="139"/>
      <c r="N51" s="147" t="s">
        <v>8340</v>
      </c>
      <c r="O51" s="34"/>
      <c r="P51" s="34"/>
      <c r="Q51" s="34"/>
      <c r="R51" s="34"/>
      <c r="S51" s="34"/>
    </row>
    <row r="52" spans="1:19" ht="16.350000000000001" customHeight="1">
      <c r="A52" s="16">
        <v>51</v>
      </c>
      <c r="B52" s="134" t="s">
        <v>571</v>
      </c>
      <c r="C52" s="134" t="s">
        <v>7467</v>
      </c>
      <c r="D52" s="135">
        <v>9781522558569</v>
      </c>
      <c r="E52" s="135">
        <v>9781522558552</v>
      </c>
      <c r="F52" s="136" t="s">
        <v>8344</v>
      </c>
      <c r="G52" s="133">
        <v>1</v>
      </c>
      <c r="H52" s="134" t="s">
        <v>6518</v>
      </c>
      <c r="I52" s="134" t="s">
        <v>8345</v>
      </c>
      <c r="J52" s="134" t="s">
        <v>569</v>
      </c>
      <c r="K52" s="133">
        <v>2019</v>
      </c>
      <c r="L52" s="137" t="s">
        <v>7499</v>
      </c>
      <c r="M52" s="139"/>
      <c r="N52" s="147" t="s">
        <v>8346</v>
      </c>
      <c r="O52" s="34"/>
      <c r="P52" s="34"/>
      <c r="Q52" s="34"/>
      <c r="R52" s="34"/>
      <c r="S52" s="34"/>
    </row>
    <row r="53" spans="1:19" ht="16.350000000000001" customHeight="1">
      <c r="A53" s="16">
        <v>52</v>
      </c>
      <c r="B53" s="134" t="s">
        <v>571</v>
      </c>
      <c r="C53" s="134" t="s">
        <v>7467</v>
      </c>
      <c r="D53" s="135">
        <v>9781522572725</v>
      </c>
      <c r="E53" s="135">
        <v>9781522572718</v>
      </c>
      <c r="F53" s="136" t="s">
        <v>8350</v>
      </c>
      <c r="G53" s="133">
        <v>1</v>
      </c>
      <c r="H53" s="134" t="s">
        <v>6518</v>
      </c>
      <c r="I53" s="134" t="s">
        <v>8351</v>
      </c>
      <c r="J53" s="134" t="s">
        <v>1233</v>
      </c>
      <c r="K53" s="133">
        <v>2019</v>
      </c>
      <c r="L53" s="137" t="s">
        <v>7499</v>
      </c>
      <c r="M53" s="139"/>
      <c r="N53" s="147" t="s">
        <v>8352</v>
      </c>
      <c r="O53" s="34"/>
      <c r="P53" s="34"/>
      <c r="Q53" s="34"/>
      <c r="R53" s="34"/>
      <c r="S53" s="34"/>
    </row>
    <row r="54" spans="1:19" ht="16.350000000000001" customHeight="1">
      <c r="A54" s="16">
        <v>53</v>
      </c>
      <c r="B54" s="134" t="s">
        <v>571</v>
      </c>
      <c r="C54" s="134" t="s">
        <v>7467</v>
      </c>
      <c r="D54" s="135">
        <v>9781522573395</v>
      </c>
      <c r="E54" s="135">
        <v>9781522573388</v>
      </c>
      <c r="F54" s="136" t="s">
        <v>8355</v>
      </c>
      <c r="G54" s="133">
        <v>1</v>
      </c>
      <c r="H54" s="134" t="s">
        <v>6518</v>
      </c>
      <c r="I54" s="134" t="s">
        <v>8356</v>
      </c>
      <c r="J54" s="134" t="s">
        <v>1233</v>
      </c>
      <c r="K54" s="133">
        <v>2019</v>
      </c>
      <c r="L54" s="137" t="s">
        <v>7499</v>
      </c>
      <c r="M54" s="139"/>
      <c r="N54" s="147" t="s">
        <v>8357</v>
      </c>
      <c r="O54" s="34"/>
      <c r="P54" s="34"/>
      <c r="Q54" s="34"/>
      <c r="R54" s="34"/>
      <c r="S54" s="34"/>
    </row>
    <row r="55" spans="1:19" ht="16.350000000000001" customHeight="1">
      <c r="A55" s="16">
        <v>54</v>
      </c>
      <c r="B55" s="134" t="s">
        <v>571</v>
      </c>
      <c r="C55" s="134" t="s">
        <v>7467</v>
      </c>
      <c r="D55" s="135">
        <v>9781522572695</v>
      </c>
      <c r="E55" s="135">
        <v>9781522572688</v>
      </c>
      <c r="F55" s="136" t="s">
        <v>8358</v>
      </c>
      <c r="G55" s="133">
        <v>1</v>
      </c>
      <c r="H55" s="134" t="s">
        <v>6518</v>
      </c>
      <c r="I55" s="134" t="s">
        <v>1007</v>
      </c>
      <c r="J55" s="134" t="s">
        <v>1233</v>
      </c>
      <c r="K55" s="133">
        <v>2019</v>
      </c>
      <c r="L55" s="137" t="s">
        <v>7499</v>
      </c>
      <c r="M55" s="139"/>
      <c r="N55" s="147" t="s">
        <v>8359</v>
      </c>
      <c r="O55" s="34"/>
      <c r="P55" s="34"/>
      <c r="Q55" s="34"/>
      <c r="R55" s="34"/>
      <c r="S55" s="34"/>
    </row>
    <row r="56" spans="1:19" ht="16.350000000000001" customHeight="1">
      <c r="A56" s="16">
        <v>55</v>
      </c>
      <c r="B56" s="134" t="s">
        <v>571</v>
      </c>
      <c r="C56" s="134" t="s">
        <v>7467</v>
      </c>
      <c r="D56" s="135">
        <v>9781522575993</v>
      </c>
      <c r="E56" s="135">
        <v>9781522575986</v>
      </c>
      <c r="F56" s="136" t="s">
        <v>8360</v>
      </c>
      <c r="G56" s="133">
        <v>1</v>
      </c>
      <c r="H56" s="134" t="s">
        <v>6518</v>
      </c>
      <c r="I56" s="134" t="s">
        <v>2596</v>
      </c>
      <c r="J56" s="134" t="s">
        <v>1233</v>
      </c>
      <c r="K56" s="133">
        <v>2019</v>
      </c>
      <c r="L56" s="137" t="s">
        <v>7499</v>
      </c>
      <c r="M56" s="138" t="s">
        <v>8361</v>
      </c>
      <c r="N56" s="147" t="s">
        <v>8362</v>
      </c>
      <c r="O56" s="34"/>
      <c r="P56" s="34"/>
      <c r="Q56" s="34"/>
      <c r="R56" s="34"/>
      <c r="S56" s="34"/>
    </row>
    <row r="57" spans="1:19" ht="16.350000000000001" customHeight="1">
      <c r="A57" s="16">
        <v>56</v>
      </c>
      <c r="B57" s="134" t="s">
        <v>571</v>
      </c>
      <c r="C57" s="134" t="s">
        <v>7467</v>
      </c>
      <c r="D57" s="135">
        <v>9781522574934</v>
      </c>
      <c r="E57" s="135">
        <v>9781522574927</v>
      </c>
      <c r="F57" s="136" t="s">
        <v>8366</v>
      </c>
      <c r="G57" s="133">
        <v>1</v>
      </c>
      <c r="H57" s="134" t="s">
        <v>6518</v>
      </c>
      <c r="I57" s="134" t="s">
        <v>2596</v>
      </c>
      <c r="J57" s="134" t="s">
        <v>569</v>
      </c>
      <c r="K57" s="133">
        <v>2019</v>
      </c>
      <c r="L57" s="137" t="s">
        <v>7499</v>
      </c>
      <c r="M57" s="139"/>
      <c r="N57" s="147" t="s">
        <v>8367</v>
      </c>
      <c r="O57" s="34"/>
      <c r="P57" s="34"/>
      <c r="Q57" s="34"/>
      <c r="R57" s="34"/>
      <c r="S57" s="34"/>
    </row>
    <row r="58" spans="1:19" ht="16.350000000000001" customHeight="1">
      <c r="A58" s="16">
        <v>57</v>
      </c>
      <c r="B58" s="134" t="s">
        <v>571</v>
      </c>
      <c r="C58" s="134" t="s">
        <v>7467</v>
      </c>
      <c r="D58" s="135">
        <v>9781522558538</v>
      </c>
      <c r="E58" s="135">
        <v>9781522558521</v>
      </c>
      <c r="F58" s="136" t="s">
        <v>8368</v>
      </c>
      <c r="G58" s="133">
        <v>1</v>
      </c>
      <c r="H58" s="134" t="s">
        <v>6518</v>
      </c>
      <c r="I58" s="134" t="s">
        <v>8369</v>
      </c>
      <c r="J58" s="134" t="s">
        <v>1233</v>
      </c>
      <c r="K58" s="133">
        <v>2019</v>
      </c>
      <c r="L58" s="137" t="s">
        <v>7499</v>
      </c>
      <c r="M58" s="139"/>
      <c r="N58" s="147" t="s">
        <v>8370</v>
      </c>
      <c r="O58" s="34"/>
      <c r="P58" s="34"/>
      <c r="Q58" s="34"/>
      <c r="R58" s="34"/>
      <c r="S58" s="34"/>
    </row>
    <row r="59" spans="1:19" ht="16.350000000000001" customHeight="1">
      <c r="A59" s="16">
        <v>58</v>
      </c>
      <c r="B59" s="134" t="s">
        <v>571</v>
      </c>
      <c r="C59" s="134" t="s">
        <v>7467</v>
      </c>
      <c r="D59" s="135">
        <v>9781522573692</v>
      </c>
      <c r="E59" s="135">
        <v>9781522573685</v>
      </c>
      <c r="F59" s="136" t="s">
        <v>8371</v>
      </c>
      <c r="G59" s="133">
        <v>1</v>
      </c>
      <c r="H59" s="134" t="s">
        <v>6518</v>
      </c>
      <c r="I59" s="134" t="s">
        <v>2596</v>
      </c>
      <c r="J59" s="134" t="s">
        <v>1233</v>
      </c>
      <c r="K59" s="133">
        <v>2019</v>
      </c>
      <c r="L59" s="137" t="s">
        <v>7499</v>
      </c>
      <c r="M59" s="138" t="s">
        <v>8053</v>
      </c>
      <c r="N59" s="147" t="s">
        <v>8372</v>
      </c>
      <c r="O59" s="34"/>
      <c r="P59" s="34"/>
      <c r="Q59" s="34"/>
      <c r="R59" s="34"/>
      <c r="S59" s="34"/>
    </row>
    <row r="60" spans="1:19" ht="16.350000000000001" customHeight="1">
      <c r="A60" s="16">
        <v>59</v>
      </c>
      <c r="B60" s="134" t="s">
        <v>571</v>
      </c>
      <c r="C60" s="134" t="s">
        <v>7467</v>
      </c>
      <c r="D60" s="135">
        <v>9781522552772</v>
      </c>
      <c r="E60" s="135">
        <v>9781522552765</v>
      </c>
      <c r="F60" s="136" t="s">
        <v>8376</v>
      </c>
      <c r="G60" s="133">
        <v>1</v>
      </c>
      <c r="H60" s="134" t="s">
        <v>6518</v>
      </c>
      <c r="I60" s="134" t="s">
        <v>8377</v>
      </c>
      <c r="J60" s="134" t="s">
        <v>1233</v>
      </c>
      <c r="K60" s="133">
        <v>2019</v>
      </c>
      <c r="L60" s="137" t="s">
        <v>7499</v>
      </c>
      <c r="M60" s="139"/>
      <c r="N60" s="147" t="s">
        <v>8378</v>
      </c>
      <c r="O60" s="34"/>
      <c r="P60" s="34"/>
      <c r="Q60" s="34"/>
      <c r="R60" s="34"/>
      <c r="S60" s="34"/>
    </row>
    <row r="61" spans="1:19" ht="16.350000000000001" customHeight="1">
      <c r="A61" s="16">
        <v>60</v>
      </c>
      <c r="B61" s="134" t="s">
        <v>571</v>
      </c>
      <c r="C61" s="134" t="s">
        <v>7467</v>
      </c>
      <c r="D61" s="135">
        <v>9781522561187</v>
      </c>
      <c r="E61" s="135">
        <v>9781522561170</v>
      </c>
      <c r="F61" s="136" t="s">
        <v>8389</v>
      </c>
      <c r="G61" s="133">
        <v>1</v>
      </c>
      <c r="H61" s="134" t="s">
        <v>6518</v>
      </c>
      <c r="I61" s="134" t="s">
        <v>8390</v>
      </c>
      <c r="J61" s="134" t="s">
        <v>1233</v>
      </c>
      <c r="K61" s="133">
        <v>2019</v>
      </c>
      <c r="L61" s="137" t="s">
        <v>7499</v>
      </c>
      <c r="M61" s="139"/>
      <c r="N61" s="147" t="s">
        <v>8391</v>
      </c>
      <c r="O61" s="34"/>
      <c r="P61" s="34"/>
      <c r="Q61" s="34"/>
      <c r="R61" s="34"/>
      <c r="S61" s="34"/>
    </row>
    <row r="62" spans="1:19" ht="16.350000000000001" customHeight="1">
      <c r="A62" s="16">
        <v>61</v>
      </c>
      <c r="B62" s="134" t="s">
        <v>571</v>
      </c>
      <c r="C62" s="134" t="s">
        <v>7467</v>
      </c>
      <c r="D62" s="135">
        <v>9781522562085</v>
      </c>
      <c r="E62" s="135">
        <v>9781522562078</v>
      </c>
      <c r="F62" s="136" t="s">
        <v>8392</v>
      </c>
      <c r="G62" s="133">
        <v>1</v>
      </c>
      <c r="H62" s="134" t="s">
        <v>6518</v>
      </c>
      <c r="I62" s="134" t="s">
        <v>6722</v>
      </c>
      <c r="J62" s="134" t="s">
        <v>1233</v>
      </c>
      <c r="K62" s="133">
        <v>2019</v>
      </c>
      <c r="L62" s="137" t="s">
        <v>7499</v>
      </c>
      <c r="M62" s="139"/>
      <c r="N62" s="147" t="s">
        <v>8393</v>
      </c>
      <c r="O62" s="34"/>
      <c r="P62" s="34"/>
      <c r="Q62" s="34"/>
      <c r="R62" s="34"/>
      <c r="S62" s="34"/>
    </row>
    <row r="63" spans="1:19" ht="16.350000000000001" customHeight="1">
      <c r="A63" s="16">
        <v>62</v>
      </c>
      <c r="B63" s="134" t="s">
        <v>571</v>
      </c>
      <c r="C63" s="134" t="s">
        <v>7467</v>
      </c>
      <c r="D63" s="135">
        <v>9781522571087</v>
      </c>
      <c r="E63" s="135">
        <v>9781522571070</v>
      </c>
      <c r="F63" s="136" t="s">
        <v>8394</v>
      </c>
      <c r="G63" s="133">
        <v>1</v>
      </c>
      <c r="H63" s="134" t="s">
        <v>6518</v>
      </c>
      <c r="I63" s="134" t="s">
        <v>5648</v>
      </c>
      <c r="J63" s="134" t="s">
        <v>1233</v>
      </c>
      <c r="K63" s="133">
        <v>2019</v>
      </c>
      <c r="L63" s="137" t="s">
        <v>7499</v>
      </c>
      <c r="M63" s="139"/>
      <c r="N63" s="147" t="s">
        <v>8395</v>
      </c>
      <c r="O63" s="34"/>
      <c r="P63" s="34"/>
      <c r="Q63" s="34"/>
      <c r="R63" s="34"/>
      <c r="S63" s="34"/>
    </row>
    <row r="64" spans="1:19" ht="16.350000000000001" customHeight="1">
      <c r="A64" s="16">
        <v>63</v>
      </c>
      <c r="B64" s="134" t="s">
        <v>571</v>
      </c>
      <c r="C64" s="134" t="s">
        <v>7467</v>
      </c>
      <c r="D64" s="135">
        <v>9781522560715</v>
      </c>
      <c r="E64" s="135">
        <v>9781522560708</v>
      </c>
      <c r="F64" s="136" t="s">
        <v>8398</v>
      </c>
      <c r="G64" s="133">
        <v>1</v>
      </c>
      <c r="H64" s="134" t="s">
        <v>6518</v>
      </c>
      <c r="I64" s="134" t="s">
        <v>7361</v>
      </c>
      <c r="J64" s="134" t="s">
        <v>1233</v>
      </c>
      <c r="K64" s="133">
        <v>2019</v>
      </c>
      <c r="L64" s="137" t="s">
        <v>7499</v>
      </c>
      <c r="M64" s="139"/>
      <c r="N64" s="147" t="s">
        <v>8399</v>
      </c>
      <c r="O64" s="34"/>
      <c r="P64" s="34"/>
      <c r="Q64" s="34"/>
      <c r="R64" s="34"/>
      <c r="S64" s="34"/>
    </row>
    <row r="65" spans="1:19" ht="16.350000000000001" customHeight="1">
      <c r="A65" s="16">
        <v>64</v>
      </c>
      <c r="B65" s="134" t="s">
        <v>571</v>
      </c>
      <c r="C65" s="134" t="s">
        <v>7467</v>
      </c>
      <c r="D65" s="135">
        <v>9781522557524</v>
      </c>
      <c r="E65" s="135">
        <v>9781522557517</v>
      </c>
      <c r="F65" s="136" t="s">
        <v>8405</v>
      </c>
      <c r="G65" s="133">
        <v>1</v>
      </c>
      <c r="H65" s="134" t="s">
        <v>6518</v>
      </c>
      <c r="I65" s="134" t="s">
        <v>8406</v>
      </c>
      <c r="J65" s="134" t="s">
        <v>1233</v>
      </c>
      <c r="K65" s="133">
        <v>2019</v>
      </c>
      <c r="L65" s="137" t="s">
        <v>7499</v>
      </c>
      <c r="M65" s="139"/>
      <c r="N65" s="147" t="s">
        <v>8407</v>
      </c>
      <c r="O65" s="34"/>
      <c r="P65" s="34"/>
      <c r="Q65" s="34"/>
      <c r="R65" s="34"/>
      <c r="S65" s="34"/>
    </row>
    <row r="66" spans="1:19" ht="16.350000000000001" customHeight="1">
      <c r="A66" s="16">
        <v>65</v>
      </c>
      <c r="B66" s="134" t="s">
        <v>571</v>
      </c>
      <c r="C66" s="134" t="s">
        <v>7467</v>
      </c>
      <c r="D66" s="135">
        <v>9781522556947</v>
      </c>
      <c r="E66" s="135">
        <v>9781522556930</v>
      </c>
      <c r="F66" s="136" t="s">
        <v>8414</v>
      </c>
      <c r="G66" s="133">
        <v>1</v>
      </c>
      <c r="H66" s="134" t="s">
        <v>6518</v>
      </c>
      <c r="I66" s="134" t="s">
        <v>8415</v>
      </c>
      <c r="J66" s="134" t="s">
        <v>1233</v>
      </c>
      <c r="K66" s="133">
        <v>2019</v>
      </c>
      <c r="L66" s="137" t="s">
        <v>7499</v>
      </c>
      <c r="M66" s="139"/>
      <c r="N66" s="147" t="s">
        <v>8416</v>
      </c>
      <c r="O66" s="34"/>
      <c r="P66" s="34"/>
      <c r="Q66" s="34"/>
      <c r="R66" s="34"/>
      <c r="S66" s="34"/>
    </row>
    <row r="67" spans="1:19" ht="16.350000000000001" customHeight="1">
      <c r="A67" s="16">
        <v>66</v>
      </c>
      <c r="B67" s="134" t="s">
        <v>571</v>
      </c>
      <c r="C67" s="134" t="s">
        <v>7467</v>
      </c>
      <c r="D67" s="135">
        <v>9781522583028</v>
      </c>
      <c r="E67" s="135">
        <v>9781522583011</v>
      </c>
      <c r="F67" s="136" t="s">
        <v>8423</v>
      </c>
      <c r="G67" s="133">
        <v>1</v>
      </c>
      <c r="H67" s="134" t="s">
        <v>6518</v>
      </c>
      <c r="I67" s="134" t="s">
        <v>8424</v>
      </c>
      <c r="J67" s="134" t="s">
        <v>1233</v>
      </c>
      <c r="K67" s="133">
        <v>2019</v>
      </c>
      <c r="L67" s="137" t="s">
        <v>7499</v>
      </c>
      <c r="M67" s="139"/>
      <c r="N67" s="147" t="s">
        <v>8425</v>
      </c>
      <c r="O67" s="34"/>
      <c r="P67" s="34"/>
      <c r="Q67" s="34"/>
      <c r="R67" s="34"/>
      <c r="S67" s="34"/>
    </row>
    <row r="68" spans="1:19" ht="16.350000000000001" customHeight="1">
      <c r="A68" s="16">
        <v>67</v>
      </c>
      <c r="B68" s="134" t="s">
        <v>571</v>
      </c>
      <c r="C68" s="134" t="s">
        <v>7467</v>
      </c>
      <c r="D68" s="135">
        <v>9781522584087</v>
      </c>
      <c r="E68" s="135">
        <v>9781522584070</v>
      </c>
      <c r="F68" s="136" t="s">
        <v>8426</v>
      </c>
      <c r="G68" s="133">
        <v>1</v>
      </c>
      <c r="H68" s="134" t="s">
        <v>6518</v>
      </c>
      <c r="I68" s="134" t="s">
        <v>8427</v>
      </c>
      <c r="J68" s="134" t="s">
        <v>1233</v>
      </c>
      <c r="K68" s="133">
        <v>2019</v>
      </c>
      <c r="L68" s="137" t="s">
        <v>7499</v>
      </c>
      <c r="M68" s="139"/>
      <c r="N68" s="147" t="s">
        <v>8428</v>
      </c>
      <c r="O68" s="34"/>
      <c r="P68" s="34"/>
      <c r="Q68" s="34"/>
      <c r="R68" s="34"/>
      <c r="S68" s="34"/>
    </row>
    <row r="69" spans="1:19" ht="16.350000000000001" customHeight="1">
      <c r="A69" s="16">
        <v>68</v>
      </c>
      <c r="B69" s="134" t="s">
        <v>571</v>
      </c>
      <c r="C69" s="134" t="s">
        <v>7467</v>
      </c>
      <c r="D69" s="135">
        <v>9781522590323</v>
      </c>
      <c r="E69" s="135">
        <v>9781522590316</v>
      </c>
      <c r="F69" s="136" t="s">
        <v>8429</v>
      </c>
      <c r="G69" s="133">
        <v>1</v>
      </c>
      <c r="H69" s="134" t="s">
        <v>6518</v>
      </c>
      <c r="I69" s="134" t="s">
        <v>7230</v>
      </c>
      <c r="J69" s="134" t="s">
        <v>1233</v>
      </c>
      <c r="K69" s="133">
        <v>2019</v>
      </c>
      <c r="L69" s="137" t="s">
        <v>7499</v>
      </c>
      <c r="M69" s="139"/>
      <c r="N69" s="147" t="s">
        <v>8430</v>
      </c>
      <c r="O69" s="34"/>
      <c r="P69" s="34"/>
      <c r="Q69" s="34"/>
      <c r="R69" s="34"/>
      <c r="S69" s="34"/>
    </row>
    <row r="70" spans="1:19" ht="16.350000000000001" customHeight="1">
      <c r="A70" s="16">
        <v>69</v>
      </c>
      <c r="B70" s="134" t="s">
        <v>571</v>
      </c>
      <c r="C70" s="134" t="s">
        <v>7467</v>
      </c>
      <c r="D70" s="135">
        <v>9781522573364</v>
      </c>
      <c r="E70" s="135">
        <v>9781522573357</v>
      </c>
      <c r="F70" s="136" t="s">
        <v>8431</v>
      </c>
      <c r="G70" s="133">
        <v>1</v>
      </c>
      <c r="H70" s="134" t="s">
        <v>6518</v>
      </c>
      <c r="I70" s="134" t="s">
        <v>8432</v>
      </c>
      <c r="J70" s="134" t="s">
        <v>1233</v>
      </c>
      <c r="K70" s="133">
        <v>2019</v>
      </c>
      <c r="L70" s="137" t="s">
        <v>7499</v>
      </c>
      <c r="M70" s="138" t="s">
        <v>8002</v>
      </c>
      <c r="N70" s="147" t="s">
        <v>8433</v>
      </c>
      <c r="O70" s="34"/>
      <c r="P70" s="34"/>
      <c r="Q70" s="34"/>
      <c r="R70" s="34"/>
      <c r="S70" s="34"/>
    </row>
    <row r="71" spans="1:19" ht="16.350000000000001" customHeight="1">
      <c r="A71" s="16">
        <v>70</v>
      </c>
      <c r="B71" s="134" t="s">
        <v>571</v>
      </c>
      <c r="C71" s="134" t="s">
        <v>7467</v>
      </c>
      <c r="D71" s="135">
        <v>9781522578123</v>
      </c>
      <c r="E71" s="135">
        <v>9781522578116</v>
      </c>
      <c r="F71" s="136" t="s">
        <v>8434</v>
      </c>
      <c r="G71" s="133">
        <v>1</v>
      </c>
      <c r="H71" s="134" t="s">
        <v>6518</v>
      </c>
      <c r="I71" s="134" t="s">
        <v>1702</v>
      </c>
      <c r="J71" s="134" t="s">
        <v>1233</v>
      </c>
      <c r="K71" s="133">
        <v>2019</v>
      </c>
      <c r="L71" s="137" t="s">
        <v>7499</v>
      </c>
      <c r="M71" s="139"/>
      <c r="N71" s="147" t="s">
        <v>8435</v>
      </c>
      <c r="O71" s="34"/>
      <c r="P71" s="34"/>
      <c r="Q71" s="34"/>
      <c r="R71" s="34"/>
      <c r="S71" s="34"/>
    </row>
    <row r="72" spans="1:19" ht="16.350000000000001" customHeight="1">
      <c r="A72" s="16">
        <v>71</v>
      </c>
      <c r="B72" s="134" t="s">
        <v>571</v>
      </c>
      <c r="C72" s="134" t="s">
        <v>7467</v>
      </c>
      <c r="D72" s="135">
        <v>9781522578635</v>
      </c>
      <c r="E72" s="135">
        <v>9781522578628</v>
      </c>
      <c r="F72" s="136" t="s">
        <v>8436</v>
      </c>
      <c r="G72" s="133">
        <v>1</v>
      </c>
      <c r="H72" s="134" t="s">
        <v>6518</v>
      </c>
      <c r="I72" s="134" t="s">
        <v>4513</v>
      </c>
      <c r="J72" s="134" t="s">
        <v>1233</v>
      </c>
      <c r="K72" s="133">
        <v>2019</v>
      </c>
      <c r="L72" s="137" t="s">
        <v>7499</v>
      </c>
      <c r="M72" s="139"/>
      <c r="N72" s="147" t="s">
        <v>8437</v>
      </c>
      <c r="O72" s="34"/>
      <c r="P72" s="34"/>
      <c r="Q72" s="34"/>
      <c r="R72" s="34"/>
      <c r="S72" s="34"/>
    </row>
    <row r="73" spans="1:19" ht="16.350000000000001" customHeight="1">
      <c r="A73" s="16">
        <v>72</v>
      </c>
      <c r="B73" s="134" t="s">
        <v>571</v>
      </c>
      <c r="C73" s="134" t="s">
        <v>7467</v>
      </c>
      <c r="D73" s="135">
        <v>9781522578802</v>
      </c>
      <c r="E73" s="135">
        <v>9781522578796</v>
      </c>
      <c r="F73" s="136" t="s">
        <v>8438</v>
      </c>
      <c r="G73" s="133">
        <v>1</v>
      </c>
      <c r="H73" s="134" t="s">
        <v>6518</v>
      </c>
      <c r="I73" s="134" t="s">
        <v>8439</v>
      </c>
      <c r="J73" s="134" t="s">
        <v>1233</v>
      </c>
      <c r="K73" s="133">
        <v>2019</v>
      </c>
      <c r="L73" s="137" t="s">
        <v>7499</v>
      </c>
      <c r="M73" s="139"/>
      <c r="N73" s="147" t="s">
        <v>8440</v>
      </c>
      <c r="O73" s="34"/>
      <c r="P73" s="34"/>
      <c r="Q73" s="34"/>
      <c r="R73" s="34"/>
      <c r="S73" s="34"/>
    </row>
    <row r="74" spans="1:19" ht="16.350000000000001" customHeight="1">
      <c r="A74" s="16">
        <v>73</v>
      </c>
      <c r="B74" s="134" t="s">
        <v>571</v>
      </c>
      <c r="C74" s="134" t="s">
        <v>7467</v>
      </c>
      <c r="D74" s="135">
        <v>9781522578833</v>
      </c>
      <c r="E74" s="135">
        <v>9781522578826</v>
      </c>
      <c r="F74" s="136" t="s">
        <v>8441</v>
      </c>
      <c r="G74" s="133">
        <v>1</v>
      </c>
      <c r="H74" s="134" t="s">
        <v>6518</v>
      </c>
      <c r="I74" s="134" t="s">
        <v>8442</v>
      </c>
      <c r="J74" s="134" t="s">
        <v>1233</v>
      </c>
      <c r="K74" s="133">
        <v>2019</v>
      </c>
      <c r="L74" s="137" t="s">
        <v>7499</v>
      </c>
      <c r="M74" s="139"/>
      <c r="N74" s="147" t="s">
        <v>8443</v>
      </c>
      <c r="O74" s="34"/>
      <c r="P74" s="34"/>
      <c r="Q74" s="34"/>
      <c r="R74" s="34"/>
      <c r="S74" s="34"/>
    </row>
    <row r="75" spans="1:19" ht="16.350000000000001" customHeight="1">
      <c r="A75" s="16">
        <v>74</v>
      </c>
      <c r="B75" s="134" t="s">
        <v>571</v>
      </c>
      <c r="C75" s="134" t="s">
        <v>7467</v>
      </c>
      <c r="D75" s="135">
        <v>9781522579281</v>
      </c>
      <c r="E75" s="135">
        <v>9781522579274</v>
      </c>
      <c r="F75" s="136" t="s">
        <v>8444</v>
      </c>
      <c r="G75" s="133">
        <v>1</v>
      </c>
      <c r="H75" s="134" t="s">
        <v>6518</v>
      </c>
      <c r="I75" s="134" t="s">
        <v>8445</v>
      </c>
      <c r="J75" s="134" t="s">
        <v>1233</v>
      </c>
      <c r="K75" s="133">
        <v>2019</v>
      </c>
      <c r="L75" s="137" t="s">
        <v>7499</v>
      </c>
      <c r="M75" s="139"/>
      <c r="N75" s="147" t="s">
        <v>8446</v>
      </c>
      <c r="O75" s="34"/>
      <c r="P75" s="34"/>
      <c r="Q75" s="34"/>
      <c r="R75" s="34"/>
      <c r="S75" s="34"/>
    </row>
    <row r="76" spans="1:19" ht="16.350000000000001" customHeight="1">
      <c r="A76" s="16">
        <v>75</v>
      </c>
      <c r="B76" s="134" t="s">
        <v>571</v>
      </c>
      <c r="C76" s="134" t="s">
        <v>7467</v>
      </c>
      <c r="D76" s="135">
        <v>9781522579564</v>
      </c>
      <c r="E76" s="135">
        <v>9781522579557</v>
      </c>
      <c r="F76" s="136" t="s">
        <v>8447</v>
      </c>
      <c r="G76" s="133">
        <v>1</v>
      </c>
      <c r="H76" s="134" t="s">
        <v>6518</v>
      </c>
      <c r="I76" s="134" t="s">
        <v>8448</v>
      </c>
      <c r="J76" s="134" t="s">
        <v>1233</v>
      </c>
      <c r="K76" s="133">
        <v>2019</v>
      </c>
      <c r="L76" s="137" t="s">
        <v>7499</v>
      </c>
      <c r="M76" s="139"/>
      <c r="N76" s="147" t="s">
        <v>8449</v>
      </c>
      <c r="O76" s="34"/>
      <c r="P76" s="34"/>
      <c r="Q76" s="34"/>
      <c r="R76" s="34"/>
      <c r="S76" s="34"/>
    </row>
    <row r="77" spans="1:19" ht="16.350000000000001" customHeight="1">
      <c r="A77" s="16">
        <v>76</v>
      </c>
      <c r="B77" s="134" t="s">
        <v>571</v>
      </c>
      <c r="C77" s="134" t="s">
        <v>7467</v>
      </c>
      <c r="D77" s="135">
        <v>9781522580287</v>
      </c>
      <c r="E77" s="135">
        <v>9781522580270</v>
      </c>
      <c r="F77" s="136" t="s">
        <v>8450</v>
      </c>
      <c r="G77" s="133">
        <v>1</v>
      </c>
      <c r="H77" s="134" t="s">
        <v>6518</v>
      </c>
      <c r="I77" s="134" t="s">
        <v>8451</v>
      </c>
      <c r="J77" s="134" t="s">
        <v>1233</v>
      </c>
      <c r="K77" s="133">
        <v>2019</v>
      </c>
      <c r="L77" s="137" t="s">
        <v>7499</v>
      </c>
      <c r="M77" s="139"/>
      <c r="N77" s="147" t="s">
        <v>8452</v>
      </c>
      <c r="O77" s="34"/>
      <c r="P77" s="34"/>
      <c r="Q77" s="34"/>
      <c r="R77" s="34"/>
      <c r="S77" s="34"/>
    </row>
    <row r="78" spans="1:19" ht="16.350000000000001" customHeight="1">
      <c r="A78" s="16">
        <v>77</v>
      </c>
      <c r="B78" s="134" t="s">
        <v>571</v>
      </c>
      <c r="C78" s="134" t="s">
        <v>7467</v>
      </c>
      <c r="D78" s="135">
        <v>9781522582397</v>
      </c>
      <c r="E78" s="135">
        <v>9781522582380</v>
      </c>
      <c r="F78" s="136" t="s">
        <v>8453</v>
      </c>
      <c r="G78" s="133">
        <v>1</v>
      </c>
      <c r="H78" s="134" t="s">
        <v>6518</v>
      </c>
      <c r="I78" s="134" t="s">
        <v>8454</v>
      </c>
      <c r="J78" s="134" t="s">
        <v>1233</v>
      </c>
      <c r="K78" s="133">
        <v>2019</v>
      </c>
      <c r="L78" s="137" t="s">
        <v>7499</v>
      </c>
      <c r="M78" s="139"/>
      <c r="N78" s="147" t="s">
        <v>8455</v>
      </c>
      <c r="O78" s="34"/>
      <c r="P78" s="34"/>
      <c r="Q78" s="34"/>
      <c r="R78" s="34"/>
      <c r="S78" s="34"/>
    </row>
    <row r="79" spans="1:19" ht="16.350000000000001" customHeight="1">
      <c r="A79" s="16">
        <v>78</v>
      </c>
      <c r="B79" s="134" t="s">
        <v>571</v>
      </c>
      <c r="C79" s="134" t="s">
        <v>7467</v>
      </c>
      <c r="D79" s="135">
        <v>9781522590255</v>
      </c>
      <c r="E79" s="135">
        <v>9781522590231</v>
      </c>
      <c r="F79" s="136" t="s">
        <v>8456</v>
      </c>
      <c r="G79" s="133">
        <v>1</v>
      </c>
      <c r="H79" s="134" t="s">
        <v>6518</v>
      </c>
      <c r="I79" s="134" t="s">
        <v>1797</v>
      </c>
      <c r="J79" s="134" t="s">
        <v>1233</v>
      </c>
      <c r="K79" s="133">
        <v>2019</v>
      </c>
      <c r="L79" s="137" t="s">
        <v>7499</v>
      </c>
      <c r="M79" s="139"/>
      <c r="N79" s="147" t="s">
        <v>8457</v>
      </c>
      <c r="O79" s="34"/>
      <c r="P79" s="34"/>
      <c r="Q79" s="34"/>
      <c r="R79" s="34"/>
      <c r="S79" s="34"/>
    </row>
    <row r="80" spans="1:19" ht="16.350000000000001" customHeight="1">
      <c r="A80" s="16">
        <v>79</v>
      </c>
      <c r="B80" s="134" t="s">
        <v>571</v>
      </c>
      <c r="C80" s="134" t="s">
        <v>7467</v>
      </c>
      <c r="D80" s="135">
        <v>9781522589747</v>
      </c>
      <c r="E80" s="135">
        <v>9781522589730</v>
      </c>
      <c r="F80" s="136" t="s">
        <v>8458</v>
      </c>
      <c r="G80" s="133">
        <v>1</v>
      </c>
      <c r="H80" s="134" t="s">
        <v>6518</v>
      </c>
      <c r="I80" s="134" t="s">
        <v>7900</v>
      </c>
      <c r="J80" s="134" t="s">
        <v>1233</v>
      </c>
      <c r="K80" s="133">
        <v>2019</v>
      </c>
      <c r="L80" s="137" t="s">
        <v>7499</v>
      </c>
      <c r="M80" s="139"/>
      <c r="N80" s="147" t="s">
        <v>8459</v>
      </c>
      <c r="O80" s="34"/>
      <c r="P80" s="34"/>
      <c r="Q80" s="34"/>
      <c r="R80" s="34"/>
      <c r="S80" s="34"/>
    </row>
    <row r="81" spans="1:19" ht="16.350000000000001" customHeight="1">
      <c r="A81" s="16">
        <v>80</v>
      </c>
      <c r="B81" s="134" t="s">
        <v>571</v>
      </c>
      <c r="C81" s="134" t="s">
        <v>7467</v>
      </c>
      <c r="D81" s="135">
        <v>9781522559139</v>
      </c>
      <c r="E81" s="135">
        <v>9781522559122</v>
      </c>
      <c r="F81" s="136" t="s">
        <v>8460</v>
      </c>
      <c r="G81" s="133">
        <v>1</v>
      </c>
      <c r="H81" s="134" t="s">
        <v>6518</v>
      </c>
      <c r="I81" s="134" t="s">
        <v>8461</v>
      </c>
      <c r="J81" s="134" t="s">
        <v>1233</v>
      </c>
      <c r="K81" s="133">
        <v>2019</v>
      </c>
      <c r="L81" s="137" t="s">
        <v>7499</v>
      </c>
      <c r="M81" s="139"/>
      <c r="N81" s="147" t="s">
        <v>8462</v>
      </c>
      <c r="O81" s="34"/>
      <c r="P81" s="34"/>
      <c r="Q81" s="34"/>
      <c r="R81" s="34"/>
      <c r="S81" s="34"/>
    </row>
    <row r="82" spans="1:19" ht="16.350000000000001" customHeight="1">
      <c r="A82" s="16">
        <v>81</v>
      </c>
      <c r="B82" s="134" t="s">
        <v>571</v>
      </c>
      <c r="C82" s="134" t="s">
        <v>7467</v>
      </c>
      <c r="D82" s="135">
        <v>9781522578482</v>
      </c>
      <c r="E82" s="135">
        <v>9781522578475</v>
      </c>
      <c r="F82" s="136" t="s">
        <v>8485</v>
      </c>
      <c r="G82" s="133">
        <v>1</v>
      </c>
      <c r="H82" s="134" t="s">
        <v>6518</v>
      </c>
      <c r="I82" s="134" t="s">
        <v>8486</v>
      </c>
      <c r="J82" s="134" t="s">
        <v>569</v>
      </c>
      <c r="K82" s="133">
        <v>2019</v>
      </c>
      <c r="L82" s="137" t="s">
        <v>7499</v>
      </c>
      <c r="M82" s="139"/>
      <c r="N82" s="147" t="s">
        <v>8487</v>
      </c>
      <c r="O82" s="34"/>
      <c r="P82" s="34"/>
      <c r="Q82" s="34"/>
      <c r="R82" s="34"/>
      <c r="S82" s="34"/>
    </row>
    <row r="83" spans="1:19" ht="16.350000000000001" customHeight="1">
      <c r="A83" s="16">
        <v>82</v>
      </c>
      <c r="B83" s="134" t="s">
        <v>571</v>
      </c>
      <c r="C83" s="134" t="s">
        <v>7467</v>
      </c>
      <c r="D83" s="135">
        <v>9781522581017</v>
      </c>
      <c r="E83" s="135">
        <v>9781522581000</v>
      </c>
      <c r="F83" s="136" t="s">
        <v>8488</v>
      </c>
      <c r="G83" s="133">
        <v>1</v>
      </c>
      <c r="H83" s="134" t="s">
        <v>6518</v>
      </c>
      <c r="I83" s="134" t="s">
        <v>8489</v>
      </c>
      <c r="J83" s="134" t="s">
        <v>569</v>
      </c>
      <c r="K83" s="133">
        <v>2019</v>
      </c>
      <c r="L83" s="137" t="s">
        <v>7499</v>
      </c>
      <c r="M83" s="139"/>
      <c r="N83" s="147" t="s">
        <v>8490</v>
      </c>
      <c r="O83" s="34"/>
      <c r="P83" s="34"/>
      <c r="Q83" s="34"/>
      <c r="R83" s="34"/>
      <c r="S83" s="34"/>
    </row>
    <row r="84" spans="1:19" ht="16.350000000000001" customHeight="1">
      <c r="A84" s="16">
        <v>83</v>
      </c>
      <c r="B84" s="134" t="s">
        <v>571</v>
      </c>
      <c r="C84" s="134" t="s">
        <v>7467</v>
      </c>
      <c r="D84" s="135">
        <v>9781522582427</v>
      </c>
      <c r="E84" s="135">
        <v>9781522582410</v>
      </c>
      <c r="F84" s="136" t="s">
        <v>8491</v>
      </c>
      <c r="G84" s="133">
        <v>1</v>
      </c>
      <c r="H84" s="134" t="s">
        <v>6518</v>
      </c>
      <c r="I84" s="134" t="s">
        <v>8492</v>
      </c>
      <c r="J84" s="134" t="s">
        <v>569</v>
      </c>
      <c r="K84" s="133">
        <v>2019</v>
      </c>
      <c r="L84" s="137" t="s">
        <v>7499</v>
      </c>
      <c r="M84" s="139"/>
      <c r="N84" s="147" t="s">
        <v>8493</v>
      </c>
      <c r="O84" s="34"/>
      <c r="P84" s="34"/>
      <c r="Q84" s="34"/>
      <c r="R84" s="34"/>
      <c r="S84" s="34"/>
    </row>
    <row r="85" spans="1:19" ht="16.350000000000001" customHeight="1">
      <c r="A85" s="16">
        <v>84</v>
      </c>
      <c r="B85" s="134" t="s">
        <v>571</v>
      </c>
      <c r="C85" s="134" t="s">
        <v>7467</v>
      </c>
      <c r="D85" s="135">
        <v>9781522583059</v>
      </c>
      <c r="E85" s="135">
        <v>9781522583042</v>
      </c>
      <c r="F85" s="136" t="s">
        <v>8494</v>
      </c>
      <c r="G85" s="133">
        <v>1</v>
      </c>
      <c r="H85" s="134" t="s">
        <v>6518</v>
      </c>
      <c r="I85" s="134" t="s">
        <v>1826</v>
      </c>
      <c r="J85" s="134" t="s">
        <v>569</v>
      </c>
      <c r="K85" s="133">
        <v>2019</v>
      </c>
      <c r="L85" s="137" t="s">
        <v>7499</v>
      </c>
      <c r="M85" s="139"/>
      <c r="N85" s="147" t="s">
        <v>8495</v>
      </c>
      <c r="O85" s="34"/>
      <c r="P85" s="34"/>
      <c r="Q85" s="34"/>
      <c r="R85" s="34"/>
      <c r="S85" s="34"/>
    </row>
    <row r="86" spans="1:19" ht="16.350000000000001" customHeight="1">
      <c r="A86" s="16">
        <v>85</v>
      </c>
      <c r="B86" s="134" t="s">
        <v>571</v>
      </c>
      <c r="C86" s="134" t="s">
        <v>7467</v>
      </c>
      <c r="D86" s="135">
        <v>9781522583905</v>
      </c>
      <c r="E86" s="135">
        <v>9781522583899</v>
      </c>
      <c r="F86" s="136" t="s">
        <v>8496</v>
      </c>
      <c r="G86" s="133">
        <v>1</v>
      </c>
      <c r="H86" s="134" t="s">
        <v>6518</v>
      </c>
      <c r="I86" s="134" t="s">
        <v>8497</v>
      </c>
      <c r="J86" s="134" t="s">
        <v>569</v>
      </c>
      <c r="K86" s="133">
        <v>2019</v>
      </c>
      <c r="L86" s="137" t="s">
        <v>7499</v>
      </c>
      <c r="M86" s="139"/>
      <c r="N86" s="147" t="s">
        <v>8498</v>
      </c>
      <c r="O86" s="34"/>
      <c r="P86" s="34"/>
      <c r="Q86" s="34"/>
      <c r="R86" s="34"/>
      <c r="S86" s="34"/>
    </row>
    <row r="87" spans="1:19" ht="16.350000000000001" customHeight="1">
      <c r="A87" s="16">
        <v>86</v>
      </c>
      <c r="B87" s="134" t="s">
        <v>571</v>
      </c>
      <c r="C87" s="134" t="s">
        <v>7471</v>
      </c>
      <c r="D87" s="135">
        <v>9781522527107</v>
      </c>
      <c r="E87" s="135">
        <v>9781522527091</v>
      </c>
      <c r="F87" s="136" t="s">
        <v>8275</v>
      </c>
      <c r="G87" s="133">
        <v>1</v>
      </c>
      <c r="H87" s="134" t="s">
        <v>6518</v>
      </c>
      <c r="I87" s="134" t="s">
        <v>8276</v>
      </c>
      <c r="J87" s="134" t="s">
        <v>1233</v>
      </c>
      <c r="K87" s="133">
        <v>2018</v>
      </c>
      <c r="L87" s="137" t="s">
        <v>7499</v>
      </c>
      <c r="M87" s="139"/>
      <c r="N87" s="147" t="s">
        <v>8277</v>
      </c>
      <c r="O87" s="34"/>
      <c r="P87" s="34"/>
      <c r="Q87" s="34"/>
      <c r="R87" s="34"/>
      <c r="S87" s="34"/>
    </row>
    <row r="88" spans="1:19" ht="16.350000000000001" customHeight="1">
      <c r="A88" s="16">
        <v>87</v>
      </c>
      <c r="B88" s="134" t="s">
        <v>571</v>
      </c>
      <c r="C88" s="134" t="s">
        <v>7471</v>
      </c>
      <c r="D88" s="135">
        <v>9781522579441</v>
      </c>
      <c r="E88" s="135">
        <v>9781522579434</v>
      </c>
      <c r="F88" s="136" t="s">
        <v>8311</v>
      </c>
      <c r="G88" s="133">
        <v>1</v>
      </c>
      <c r="H88" s="134" t="s">
        <v>6518</v>
      </c>
      <c r="I88" s="134" t="s">
        <v>8312</v>
      </c>
      <c r="J88" s="134" t="s">
        <v>1233</v>
      </c>
      <c r="K88" s="133">
        <v>2019</v>
      </c>
      <c r="L88" s="137" t="s">
        <v>7499</v>
      </c>
      <c r="M88" s="139"/>
      <c r="N88" s="147" t="s">
        <v>8313</v>
      </c>
      <c r="O88" s="34"/>
      <c r="P88" s="34"/>
      <c r="Q88" s="34"/>
      <c r="R88" s="34"/>
      <c r="S88" s="34"/>
    </row>
    <row r="89" spans="1:19" ht="16.350000000000001" customHeight="1">
      <c r="A89" s="16">
        <v>88</v>
      </c>
      <c r="B89" s="134" t="s">
        <v>571</v>
      </c>
      <c r="C89" s="134" t="s">
        <v>7471</v>
      </c>
      <c r="D89" s="135">
        <v>9781522570608</v>
      </c>
      <c r="E89" s="135">
        <v>9781522570592</v>
      </c>
      <c r="F89" s="136" t="s">
        <v>8347</v>
      </c>
      <c r="G89" s="133">
        <v>1</v>
      </c>
      <c r="H89" s="134" t="s">
        <v>6518</v>
      </c>
      <c r="I89" s="134" t="s">
        <v>8348</v>
      </c>
      <c r="J89" s="134" t="s">
        <v>1233</v>
      </c>
      <c r="K89" s="133">
        <v>2019</v>
      </c>
      <c r="L89" s="137" t="s">
        <v>7499</v>
      </c>
      <c r="M89" s="139"/>
      <c r="N89" s="147" t="s">
        <v>8349</v>
      </c>
      <c r="O89" s="34"/>
      <c r="P89" s="34"/>
      <c r="Q89" s="34"/>
      <c r="R89" s="34"/>
      <c r="S89" s="34"/>
    </row>
    <row r="90" spans="1:19" ht="16.350000000000001" customHeight="1">
      <c r="A90" s="16">
        <v>89</v>
      </c>
      <c r="B90" s="134" t="s">
        <v>571</v>
      </c>
      <c r="C90" s="134" t="s">
        <v>7471</v>
      </c>
      <c r="D90" s="135">
        <v>9781522569961</v>
      </c>
      <c r="E90" s="135">
        <v>9781522569954</v>
      </c>
      <c r="F90" s="136" t="s">
        <v>8353</v>
      </c>
      <c r="G90" s="133">
        <v>1</v>
      </c>
      <c r="H90" s="134" t="s">
        <v>6518</v>
      </c>
      <c r="I90" s="134" t="s">
        <v>6756</v>
      </c>
      <c r="J90" s="134" t="s">
        <v>1233</v>
      </c>
      <c r="K90" s="133">
        <v>2019</v>
      </c>
      <c r="L90" s="137" t="s">
        <v>7499</v>
      </c>
      <c r="M90" s="139"/>
      <c r="N90" s="147" t="s">
        <v>8354</v>
      </c>
      <c r="O90" s="34"/>
      <c r="P90" s="34"/>
      <c r="Q90" s="34"/>
      <c r="R90" s="34"/>
      <c r="S90" s="34"/>
    </row>
    <row r="91" spans="1:19" ht="16.350000000000001" customHeight="1">
      <c r="A91" s="16">
        <v>90</v>
      </c>
      <c r="B91" s="134" t="s">
        <v>571</v>
      </c>
      <c r="C91" s="134" t="s">
        <v>7471</v>
      </c>
      <c r="D91" s="135">
        <v>9781522558651</v>
      </c>
      <c r="E91" s="135">
        <v>9781522558644</v>
      </c>
      <c r="F91" s="136" t="s">
        <v>8373</v>
      </c>
      <c r="G91" s="133">
        <v>1</v>
      </c>
      <c r="H91" s="134" t="s">
        <v>6518</v>
      </c>
      <c r="I91" s="134" t="s">
        <v>8374</v>
      </c>
      <c r="J91" s="134" t="s">
        <v>1233</v>
      </c>
      <c r="K91" s="133">
        <v>2019</v>
      </c>
      <c r="L91" s="137" t="s">
        <v>7499</v>
      </c>
      <c r="M91" s="139"/>
      <c r="N91" s="147" t="s">
        <v>8375</v>
      </c>
      <c r="O91" s="34"/>
      <c r="P91" s="34"/>
      <c r="Q91" s="34"/>
      <c r="R91" s="34"/>
      <c r="S91" s="34"/>
    </row>
    <row r="92" spans="1:19" ht="16.350000000000001" customHeight="1">
      <c r="A92" s="16">
        <v>91</v>
      </c>
      <c r="B92" s="134" t="s">
        <v>571</v>
      </c>
      <c r="C92" s="134" t="s">
        <v>7474</v>
      </c>
      <c r="D92" s="135">
        <v>9781522577287</v>
      </c>
      <c r="E92" s="135">
        <v>9781522577270</v>
      </c>
      <c r="F92" s="136" t="s">
        <v>8335</v>
      </c>
      <c r="G92" s="133">
        <v>1</v>
      </c>
      <c r="H92" s="134" t="s">
        <v>6518</v>
      </c>
      <c r="I92" s="134" t="s">
        <v>8336</v>
      </c>
      <c r="J92" s="134" t="s">
        <v>1233</v>
      </c>
      <c r="K92" s="133">
        <v>2019</v>
      </c>
      <c r="L92" s="137" t="s">
        <v>7499</v>
      </c>
      <c r="M92" s="139"/>
      <c r="N92" s="147" t="s">
        <v>8337</v>
      </c>
      <c r="O92" s="34"/>
      <c r="P92" s="34"/>
      <c r="Q92" s="34"/>
      <c r="R92" s="34"/>
      <c r="S92" s="34"/>
    </row>
    <row r="93" spans="1:19" ht="16.350000000000001" customHeight="1">
      <c r="A93" s="16">
        <v>92</v>
      </c>
      <c r="B93" s="134" t="s">
        <v>571</v>
      </c>
      <c r="C93" s="134" t="s">
        <v>7474</v>
      </c>
      <c r="D93" s="135">
        <v>9781522573609</v>
      </c>
      <c r="E93" s="135">
        <v>9781522573593</v>
      </c>
      <c r="F93" s="136" t="s">
        <v>8396</v>
      </c>
      <c r="G93" s="133">
        <v>1</v>
      </c>
      <c r="H93" s="134" t="s">
        <v>6518</v>
      </c>
      <c r="I93" s="134" t="s">
        <v>2596</v>
      </c>
      <c r="J93" s="134" t="s">
        <v>1233</v>
      </c>
      <c r="K93" s="133">
        <v>2019</v>
      </c>
      <c r="L93" s="137" t="s">
        <v>7499</v>
      </c>
      <c r="M93" s="139"/>
      <c r="N93" s="147" t="s">
        <v>8397</v>
      </c>
      <c r="O93" s="34"/>
      <c r="P93" s="34"/>
      <c r="Q93" s="34"/>
      <c r="R93" s="34"/>
      <c r="S93" s="34"/>
    </row>
    <row r="94" spans="1:19" ht="16.350000000000001" customHeight="1">
      <c r="A94" s="16">
        <v>93</v>
      </c>
      <c r="B94" s="134" t="s">
        <v>571</v>
      </c>
      <c r="C94" s="134" t="s">
        <v>7474</v>
      </c>
      <c r="D94" s="135">
        <v>9781522560036</v>
      </c>
      <c r="E94" s="135">
        <v>9781522560029</v>
      </c>
      <c r="F94" s="136" t="s">
        <v>8400</v>
      </c>
      <c r="G94" s="133">
        <v>1</v>
      </c>
      <c r="H94" s="134" t="s">
        <v>6518</v>
      </c>
      <c r="I94" s="134" t="s">
        <v>8401</v>
      </c>
      <c r="J94" s="134" t="s">
        <v>1233</v>
      </c>
      <c r="K94" s="133">
        <v>2019</v>
      </c>
      <c r="L94" s="137" t="s">
        <v>7499</v>
      </c>
      <c r="M94" s="139"/>
      <c r="N94" s="147" t="s">
        <v>8402</v>
      </c>
      <c r="O94" s="34"/>
      <c r="P94" s="34"/>
      <c r="Q94" s="34"/>
      <c r="R94" s="34"/>
      <c r="S94" s="34"/>
    </row>
    <row r="95" spans="1:19" ht="16.350000000000001" customHeight="1">
      <c r="A95" s="16">
        <v>94</v>
      </c>
      <c r="B95" s="134" t="s">
        <v>571</v>
      </c>
      <c r="C95" s="134" t="s">
        <v>7474</v>
      </c>
      <c r="D95" s="135">
        <v>9781522569497</v>
      </c>
      <c r="E95" s="135">
        <v>9781522569480</v>
      </c>
      <c r="F95" s="136" t="s">
        <v>8403</v>
      </c>
      <c r="G95" s="133">
        <v>1</v>
      </c>
      <c r="H95" s="134" t="s">
        <v>6518</v>
      </c>
      <c r="I95" s="134" t="s">
        <v>1586</v>
      </c>
      <c r="J95" s="134" t="s">
        <v>1233</v>
      </c>
      <c r="K95" s="133">
        <v>2019</v>
      </c>
      <c r="L95" s="137" t="s">
        <v>7499</v>
      </c>
      <c r="M95" s="139"/>
      <c r="N95" s="147" t="s">
        <v>8404</v>
      </c>
      <c r="O95" s="34"/>
      <c r="P95" s="34"/>
      <c r="Q95" s="34"/>
      <c r="R95" s="34"/>
      <c r="S95" s="34"/>
    </row>
    <row r="96" spans="1:19" ht="16.350000000000001" customHeight="1">
      <c r="A96" s="16">
        <v>95</v>
      </c>
      <c r="B96" s="134" t="s">
        <v>571</v>
      </c>
      <c r="C96" s="134" t="s">
        <v>7474</v>
      </c>
      <c r="D96" s="135">
        <v>9781522557678</v>
      </c>
      <c r="E96" s="135">
        <v>9781522557661</v>
      </c>
      <c r="F96" s="136" t="s">
        <v>8408</v>
      </c>
      <c r="G96" s="133">
        <v>1</v>
      </c>
      <c r="H96" s="134" t="s">
        <v>6518</v>
      </c>
      <c r="I96" s="134" t="s">
        <v>8409</v>
      </c>
      <c r="J96" s="134" t="s">
        <v>1233</v>
      </c>
      <c r="K96" s="133">
        <v>2019</v>
      </c>
      <c r="L96" s="137" t="s">
        <v>7499</v>
      </c>
      <c r="M96" s="139"/>
      <c r="N96" s="147" t="s">
        <v>8410</v>
      </c>
      <c r="O96" s="34"/>
      <c r="P96" s="34"/>
      <c r="Q96" s="34"/>
      <c r="R96" s="34"/>
      <c r="S96" s="34"/>
    </row>
    <row r="97" spans="1:19" ht="16.350000000000001" customHeight="1">
      <c r="A97" s="16">
        <v>96</v>
      </c>
      <c r="B97" s="134" t="s">
        <v>571</v>
      </c>
      <c r="C97" s="134" t="s">
        <v>7474</v>
      </c>
      <c r="D97" s="135">
        <v>9781522557555</v>
      </c>
      <c r="E97" s="135">
        <v>9781522557548</v>
      </c>
      <c r="F97" s="136" t="s">
        <v>8417</v>
      </c>
      <c r="G97" s="133">
        <v>1</v>
      </c>
      <c r="H97" s="134" t="s">
        <v>6518</v>
      </c>
      <c r="I97" s="134" t="s">
        <v>8418</v>
      </c>
      <c r="J97" s="134" t="s">
        <v>1233</v>
      </c>
      <c r="K97" s="133">
        <v>2019</v>
      </c>
      <c r="L97" s="137" t="s">
        <v>7499</v>
      </c>
      <c r="M97" s="139"/>
      <c r="N97" s="147" t="s">
        <v>8419</v>
      </c>
      <c r="O97" s="34"/>
      <c r="P97" s="34"/>
      <c r="Q97" s="34"/>
      <c r="R97" s="34"/>
      <c r="S97" s="34"/>
    </row>
    <row r="98" spans="1:19" ht="16.350000000000001" customHeight="1">
      <c r="A98" s="16">
        <v>97</v>
      </c>
      <c r="B98" s="134" t="s">
        <v>571</v>
      </c>
      <c r="C98" s="134" t="s">
        <v>7474</v>
      </c>
      <c r="D98" s="135">
        <v>9781522579595</v>
      </c>
      <c r="E98" s="135">
        <v>9781522579588</v>
      </c>
      <c r="F98" s="136" t="s">
        <v>8420</v>
      </c>
      <c r="G98" s="133">
        <v>1</v>
      </c>
      <c r="H98" s="134" t="s">
        <v>6518</v>
      </c>
      <c r="I98" s="134" t="s">
        <v>8421</v>
      </c>
      <c r="J98" s="134" t="s">
        <v>1233</v>
      </c>
      <c r="K98" s="133">
        <v>2019</v>
      </c>
      <c r="L98" s="137" t="s">
        <v>7499</v>
      </c>
      <c r="M98" s="139"/>
      <c r="N98" s="147" t="s">
        <v>8422</v>
      </c>
      <c r="O98" s="34"/>
      <c r="P98" s="34"/>
      <c r="Q98" s="34"/>
      <c r="R98" s="34"/>
      <c r="S98" s="34"/>
    </row>
    <row r="99" spans="1:19" ht="16.350000000000001" customHeight="1">
      <c r="A99" s="16">
        <v>98</v>
      </c>
      <c r="B99" s="134" t="s">
        <v>571</v>
      </c>
      <c r="C99" s="134" t="s">
        <v>7474</v>
      </c>
      <c r="D99" s="135">
        <v>9781522580867</v>
      </c>
      <c r="E99" s="135">
        <v>9781522580850</v>
      </c>
      <c r="F99" s="136" t="s">
        <v>8465</v>
      </c>
      <c r="G99" s="133">
        <v>1</v>
      </c>
      <c r="H99" s="134" t="s">
        <v>6518</v>
      </c>
      <c r="I99" s="134" t="s">
        <v>8466</v>
      </c>
      <c r="J99" s="134" t="s">
        <v>1233</v>
      </c>
      <c r="K99" s="133">
        <v>2019</v>
      </c>
      <c r="L99" s="137" t="s">
        <v>7499</v>
      </c>
      <c r="M99" s="139"/>
      <c r="N99" s="147" t="s">
        <v>8467</v>
      </c>
      <c r="O99" s="34"/>
      <c r="P99" s="34"/>
      <c r="Q99" s="34"/>
      <c r="R99" s="34"/>
      <c r="S99" s="34"/>
    </row>
    <row r="100" spans="1:19" ht="16.350000000000001" customHeight="1">
      <c r="A100" s="16">
        <v>99</v>
      </c>
      <c r="B100" s="134" t="s">
        <v>571</v>
      </c>
      <c r="C100" s="134" t="s">
        <v>7474</v>
      </c>
      <c r="D100" s="135">
        <v>9781522583264</v>
      </c>
      <c r="E100" s="135">
        <v>9781522583257</v>
      </c>
      <c r="F100" s="136" t="s">
        <v>8482</v>
      </c>
      <c r="G100" s="133">
        <v>1</v>
      </c>
      <c r="H100" s="134" t="s">
        <v>6518</v>
      </c>
      <c r="I100" s="134" t="s">
        <v>8483</v>
      </c>
      <c r="J100" s="134" t="s">
        <v>1233</v>
      </c>
      <c r="K100" s="133">
        <v>2019</v>
      </c>
      <c r="L100" s="137" t="s">
        <v>7499</v>
      </c>
      <c r="M100" s="139"/>
      <c r="N100" s="147" t="s">
        <v>8484</v>
      </c>
      <c r="O100" s="34"/>
      <c r="P100" s="34"/>
      <c r="Q100" s="34"/>
      <c r="R100" s="34"/>
      <c r="S100" s="34"/>
    </row>
    <row r="101" spans="1:19" ht="16.350000000000001" customHeight="1">
      <c r="A101" s="16">
        <v>100</v>
      </c>
      <c r="B101" s="134" t="s">
        <v>571</v>
      </c>
      <c r="C101" s="134" t="s">
        <v>7808</v>
      </c>
      <c r="D101" s="135">
        <v>9781522575405</v>
      </c>
      <c r="E101" s="135">
        <v>9781522575399</v>
      </c>
      <c r="F101" s="136" t="s">
        <v>8363</v>
      </c>
      <c r="G101" s="133">
        <v>1</v>
      </c>
      <c r="H101" s="134" t="s">
        <v>6518</v>
      </c>
      <c r="I101" s="134" t="s">
        <v>8364</v>
      </c>
      <c r="J101" s="134" t="s">
        <v>1233</v>
      </c>
      <c r="K101" s="133">
        <v>2019</v>
      </c>
      <c r="L101" s="137" t="s">
        <v>7499</v>
      </c>
      <c r="M101" s="139"/>
      <c r="N101" s="147" t="s">
        <v>8365</v>
      </c>
      <c r="O101" s="34"/>
      <c r="P101" s="34"/>
      <c r="Q101" s="34"/>
      <c r="R101" s="34"/>
      <c r="S101" s="34"/>
    </row>
    <row r="102" spans="1:19" ht="16.350000000000001" customHeight="1">
      <c r="A102" s="16">
        <v>101</v>
      </c>
      <c r="B102" s="134" t="s">
        <v>571</v>
      </c>
      <c r="C102" s="134" t="s">
        <v>7808</v>
      </c>
      <c r="D102" s="135">
        <v>9781522569725</v>
      </c>
      <c r="E102" s="135">
        <v>9781522569718</v>
      </c>
      <c r="F102" s="136" t="s">
        <v>8379</v>
      </c>
      <c r="G102" s="133">
        <v>1</v>
      </c>
      <c r="H102" s="134" t="s">
        <v>6518</v>
      </c>
      <c r="I102" s="134" t="s">
        <v>8380</v>
      </c>
      <c r="J102" s="134" t="s">
        <v>1233</v>
      </c>
      <c r="K102" s="133">
        <v>2019</v>
      </c>
      <c r="L102" s="137" t="s">
        <v>7499</v>
      </c>
      <c r="M102" s="139"/>
      <c r="N102" s="147" t="s">
        <v>8381</v>
      </c>
      <c r="O102" s="34"/>
      <c r="P102" s="34"/>
      <c r="Q102" s="34"/>
      <c r="R102" s="34"/>
      <c r="S102" s="34"/>
    </row>
    <row r="103" spans="1:19" ht="16.350000000000001" customHeight="1">
      <c r="A103" s="16">
        <v>102</v>
      </c>
      <c r="B103" s="134" t="s">
        <v>571</v>
      </c>
      <c r="C103" s="134" t="s">
        <v>7808</v>
      </c>
      <c r="D103" s="135">
        <v>9781522569909</v>
      </c>
      <c r="E103" s="135">
        <v>9781522569893</v>
      </c>
      <c r="F103" s="136" t="s">
        <v>8382</v>
      </c>
      <c r="G103" s="133">
        <v>1</v>
      </c>
      <c r="H103" s="134" t="s">
        <v>6518</v>
      </c>
      <c r="I103" s="134" t="s">
        <v>8383</v>
      </c>
      <c r="J103" s="134" t="s">
        <v>1233</v>
      </c>
      <c r="K103" s="133">
        <v>2019</v>
      </c>
      <c r="L103" s="137" t="s">
        <v>7499</v>
      </c>
      <c r="M103" s="139"/>
      <c r="N103" s="147" t="s">
        <v>8384</v>
      </c>
      <c r="O103" s="34"/>
      <c r="P103" s="34"/>
      <c r="Q103" s="34"/>
      <c r="R103" s="34"/>
      <c r="S103" s="34"/>
    </row>
    <row r="104" spans="1:19" ht="16.350000000000001" customHeight="1">
      <c r="A104" s="16">
        <v>103</v>
      </c>
      <c r="B104" s="134" t="s">
        <v>571</v>
      </c>
      <c r="C104" s="134" t="s">
        <v>7808</v>
      </c>
      <c r="D104" s="135">
        <v>9781522580317</v>
      </c>
      <c r="E104" s="135">
        <v>9781522580300</v>
      </c>
      <c r="F104" s="136" t="s">
        <v>8479</v>
      </c>
      <c r="G104" s="133">
        <v>1</v>
      </c>
      <c r="H104" s="134" t="s">
        <v>6518</v>
      </c>
      <c r="I104" s="134" t="s">
        <v>8480</v>
      </c>
      <c r="J104" s="134" t="s">
        <v>1233</v>
      </c>
      <c r="K104" s="133">
        <v>2019</v>
      </c>
      <c r="L104" s="137" t="s">
        <v>7499</v>
      </c>
      <c r="M104" s="139"/>
      <c r="N104" s="147" t="s">
        <v>8481</v>
      </c>
      <c r="O104" s="34"/>
      <c r="P104" s="34"/>
      <c r="Q104" s="34"/>
      <c r="R104" s="34"/>
      <c r="S104" s="34"/>
    </row>
    <row r="105" spans="1:19" ht="16.350000000000001" customHeight="1">
      <c r="A105" s="16">
        <v>104</v>
      </c>
      <c r="B105" s="134" t="s">
        <v>571</v>
      </c>
      <c r="C105" s="134" t="s">
        <v>7813</v>
      </c>
      <c r="D105" s="135">
        <v>9781522582243</v>
      </c>
      <c r="E105" s="135">
        <v>9781522582236</v>
      </c>
      <c r="F105" s="136" t="s">
        <v>8299</v>
      </c>
      <c r="G105" s="133">
        <v>1</v>
      </c>
      <c r="H105" s="134" t="s">
        <v>6518</v>
      </c>
      <c r="I105" s="134" t="s">
        <v>8300</v>
      </c>
      <c r="J105" s="134" t="s">
        <v>1233</v>
      </c>
      <c r="K105" s="133">
        <v>2019</v>
      </c>
      <c r="L105" s="137" t="s">
        <v>7499</v>
      </c>
      <c r="M105" s="139"/>
      <c r="N105" s="147" t="s">
        <v>8301</v>
      </c>
      <c r="O105" s="34"/>
      <c r="P105" s="34"/>
      <c r="Q105" s="34"/>
      <c r="R105" s="34"/>
      <c r="S105" s="34"/>
    </row>
    <row r="106" spans="1:19" ht="16.350000000000001" customHeight="1">
      <c r="A106" s="16">
        <v>105</v>
      </c>
      <c r="B106" s="134" t="s">
        <v>571</v>
      </c>
      <c r="C106" s="134" t="s">
        <v>7813</v>
      </c>
      <c r="D106" s="135">
        <v>9781522554462</v>
      </c>
      <c r="E106" s="135">
        <v>9781522554455</v>
      </c>
      <c r="F106" s="136" t="s">
        <v>8341</v>
      </c>
      <c r="G106" s="133">
        <v>1</v>
      </c>
      <c r="H106" s="134" t="s">
        <v>6518</v>
      </c>
      <c r="I106" s="134" t="s">
        <v>8342</v>
      </c>
      <c r="J106" s="134" t="s">
        <v>1233</v>
      </c>
      <c r="K106" s="133">
        <v>2019</v>
      </c>
      <c r="L106" s="137" t="s">
        <v>7499</v>
      </c>
      <c r="M106" s="139"/>
      <c r="N106" s="147" t="s">
        <v>8343</v>
      </c>
      <c r="O106" s="34"/>
      <c r="P106" s="34"/>
      <c r="Q106" s="34"/>
      <c r="R106" s="34"/>
      <c r="S106" s="34"/>
    </row>
    <row r="107" spans="1:19" ht="16.350000000000001" customHeight="1">
      <c r="A107" s="16">
        <v>106</v>
      </c>
      <c r="B107" s="134" t="s">
        <v>571</v>
      </c>
      <c r="C107" s="134" t="s">
        <v>7496</v>
      </c>
      <c r="D107" s="135">
        <v>9781522554370</v>
      </c>
      <c r="E107" s="135">
        <v>9781522554363</v>
      </c>
      <c r="F107" s="136" t="s">
        <v>8269</v>
      </c>
      <c r="G107" s="133">
        <v>1</v>
      </c>
      <c r="H107" s="134" t="s">
        <v>6518</v>
      </c>
      <c r="I107" s="134" t="s">
        <v>8270</v>
      </c>
      <c r="J107" s="134" t="s">
        <v>1233</v>
      </c>
      <c r="K107" s="133">
        <v>2018</v>
      </c>
      <c r="L107" s="137" t="s">
        <v>7499</v>
      </c>
      <c r="M107" s="139"/>
      <c r="N107" s="147" t="s">
        <v>8271</v>
      </c>
      <c r="O107" s="34"/>
      <c r="P107" s="34"/>
      <c r="Q107" s="34"/>
      <c r="R107" s="34"/>
      <c r="S107" s="34"/>
    </row>
    <row r="108" spans="1:19" ht="16.350000000000001" customHeight="1">
      <c r="A108" s="16">
        <v>107</v>
      </c>
      <c r="B108" s="134" t="s">
        <v>571</v>
      </c>
      <c r="C108" s="134" t="s">
        <v>7496</v>
      </c>
      <c r="D108" s="135">
        <v>9781522579229</v>
      </c>
      <c r="E108" s="135">
        <v>9781522579212</v>
      </c>
      <c r="F108" s="136" t="s">
        <v>8463</v>
      </c>
      <c r="G108" s="133">
        <v>1</v>
      </c>
      <c r="H108" s="134" t="s">
        <v>6518</v>
      </c>
      <c r="I108" s="134" t="s">
        <v>8279</v>
      </c>
      <c r="J108" s="134" t="s">
        <v>1233</v>
      </c>
      <c r="K108" s="133">
        <v>2019</v>
      </c>
      <c r="L108" s="137" t="s">
        <v>7499</v>
      </c>
      <c r="M108" s="139"/>
      <c r="N108" s="147" t="s">
        <v>8464</v>
      </c>
      <c r="O108" s="34"/>
      <c r="P108" s="34"/>
      <c r="Q108" s="34"/>
      <c r="R108" s="34"/>
      <c r="S108" s="34"/>
    </row>
    <row r="109" spans="1:19" ht="16.350000000000001" customHeight="1">
      <c r="A109" s="16">
        <v>108</v>
      </c>
      <c r="B109" s="134" t="s">
        <v>571</v>
      </c>
      <c r="C109" s="134" t="s">
        <v>8385</v>
      </c>
      <c r="D109" s="135">
        <v>9781522555780</v>
      </c>
      <c r="E109" s="135">
        <v>9781522555773</v>
      </c>
      <c r="F109" s="136" t="s">
        <v>8386</v>
      </c>
      <c r="G109" s="133">
        <v>1</v>
      </c>
      <c r="H109" s="134" t="s">
        <v>6518</v>
      </c>
      <c r="I109" s="134" t="s">
        <v>8387</v>
      </c>
      <c r="J109" s="134" t="s">
        <v>1233</v>
      </c>
      <c r="K109" s="133">
        <v>2019</v>
      </c>
      <c r="L109" s="137" t="s">
        <v>7499</v>
      </c>
      <c r="M109" s="139"/>
      <c r="N109" s="147" t="s">
        <v>8388</v>
      </c>
      <c r="O109" s="34"/>
      <c r="P109" s="34"/>
      <c r="Q109" s="34"/>
      <c r="R109" s="34"/>
      <c r="S109" s="34"/>
    </row>
    <row r="110" spans="1:19" ht="16.350000000000001" customHeight="1">
      <c r="A110" s="16">
        <v>109</v>
      </c>
      <c r="B110" s="134" t="s">
        <v>5071</v>
      </c>
      <c r="C110" s="134" t="s">
        <v>7922</v>
      </c>
      <c r="D110" s="135">
        <v>9781522580805</v>
      </c>
      <c r="E110" s="135">
        <v>9781522580799</v>
      </c>
      <c r="F110" s="136" t="s">
        <v>7923</v>
      </c>
      <c r="G110" s="133">
        <v>1</v>
      </c>
      <c r="H110" s="134" t="s">
        <v>6518</v>
      </c>
      <c r="I110" s="134" t="s">
        <v>7924</v>
      </c>
      <c r="J110" s="134" t="s">
        <v>569</v>
      </c>
      <c r="K110" s="133">
        <v>2019</v>
      </c>
      <c r="L110" s="137" t="s">
        <v>7499</v>
      </c>
      <c r="M110" s="139"/>
      <c r="N110" s="147" t="s">
        <v>7925</v>
      </c>
      <c r="O110" s="34"/>
      <c r="P110" s="34"/>
      <c r="Q110" s="34"/>
      <c r="R110" s="34"/>
      <c r="S110" s="34"/>
    </row>
    <row r="111" spans="1:19" ht="16.350000000000001" customHeight="1">
      <c r="A111" s="16">
        <v>110</v>
      </c>
      <c r="B111" s="134" t="s">
        <v>5071</v>
      </c>
      <c r="C111" s="134" t="s">
        <v>7922</v>
      </c>
      <c r="D111" s="135">
        <v>9781522569930</v>
      </c>
      <c r="E111" s="135">
        <v>9781522569923</v>
      </c>
      <c r="F111" s="136" t="s">
        <v>8011</v>
      </c>
      <c r="G111" s="133">
        <v>1</v>
      </c>
      <c r="H111" s="134" t="s">
        <v>6518</v>
      </c>
      <c r="I111" s="134" t="s">
        <v>161</v>
      </c>
      <c r="J111" s="134" t="s">
        <v>569</v>
      </c>
      <c r="K111" s="133">
        <v>2019</v>
      </c>
      <c r="L111" s="137" t="s">
        <v>7499</v>
      </c>
      <c r="M111" s="139"/>
      <c r="N111" s="147" t="s">
        <v>8012</v>
      </c>
      <c r="O111" s="34"/>
      <c r="P111" s="34"/>
      <c r="Q111" s="34"/>
      <c r="R111" s="34"/>
      <c r="S111" s="34"/>
    </row>
    <row r="112" spans="1:19" ht="16.350000000000001" customHeight="1">
      <c r="A112" s="16">
        <v>111</v>
      </c>
      <c r="B112" s="134" t="s">
        <v>5071</v>
      </c>
      <c r="C112" s="134" t="s">
        <v>7995</v>
      </c>
      <c r="D112" s="135">
        <v>9781522579762</v>
      </c>
      <c r="E112" s="135">
        <v>9781522579755</v>
      </c>
      <c r="F112" s="136" t="s">
        <v>7996</v>
      </c>
      <c r="G112" s="133">
        <v>1</v>
      </c>
      <c r="H112" s="134" t="s">
        <v>6518</v>
      </c>
      <c r="I112" s="134" t="s">
        <v>2366</v>
      </c>
      <c r="J112" s="134" t="s">
        <v>569</v>
      </c>
      <c r="K112" s="133">
        <v>2019</v>
      </c>
      <c r="L112" s="137" t="s">
        <v>7499</v>
      </c>
      <c r="M112" s="139"/>
      <c r="N112" s="147" t="s">
        <v>7997</v>
      </c>
      <c r="O112" s="34"/>
      <c r="P112" s="34"/>
      <c r="Q112" s="34"/>
      <c r="R112" s="34"/>
      <c r="S112" s="34"/>
    </row>
    <row r="113" spans="1:19" ht="16.350000000000001" customHeight="1">
      <c r="A113" s="16">
        <v>112</v>
      </c>
      <c r="B113" s="134" t="s">
        <v>5071</v>
      </c>
      <c r="C113" s="134" t="s">
        <v>7873</v>
      </c>
      <c r="D113" s="135">
        <v>9781522555735</v>
      </c>
      <c r="E113" s="135">
        <v>9781522555728</v>
      </c>
      <c r="F113" s="136" t="s">
        <v>7874</v>
      </c>
      <c r="G113" s="133">
        <v>1</v>
      </c>
      <c r="H113" s="134" t="s">
        <v>6518</v>
      </c>
      <c r="I113" s="134" t="s">
        <v>7875</v>
      </c>
      <c r="J113" s="134" t="s">
        <v>569</v>
      </c>
      <c r="K113" s="133">
        <v>2018</v>
      </c>
      <c r="L113" s="137" t="s">
        <v>7499</v>
      </c>
      <c r="M113" s="139"/>
      <c r="N113" s="147" t="s">
        <v>7876</v>
      </c>
      <c r="O113" s="34"/>
      <c r="P113" s="34"/>
      <c r="Q113" s="34"/>
      <c r="R113" s="34"/>
      <c r="S113" s="34"/>
    </row>
    <row r="114" spans="1:19" ht="16.350000000000001" customHeight="1">
      <c r="A114" s="16">
        <v>113</v>
      </c>
      <c r="B114" s="134" t="s">
        <v>5071</v>
      </c>
      <c r="C114" s="134" t="s">
        <v>7478</v>
      </c>
      <c r="D114" s="135">
        <v>9781466687066</v>
      </c>
      <c r="E114" s="135">
        <v>9781466687059</v>
      </c>
      <c r="F114" s="136" t="s">
        <v>7837</v>
      </c>
      <c r="G114" s="133">
        <v>1</v>
      </c>
      <c r="H114" s="134" t="s">
        <v>6518</v>
      </c>
      <c r="I114" s="134" t="s">
        <v>7838</v>
      </c>
      <c r="J114" s="134" t="s">
        <v>569</v>
      </c>
      <c r="K114" s="133">
        <v>2015</v>
      </c>
      <c r="L114" s="137" t="s">
        <v>7499</v>
      </c>
      <c r="M114" s="139"/>
      <c r="N114" s="147" t="s">
        <v>7839</v>
      </c>
      <c r="O114" s="34"/>
      <c r="P114" s="34"/>
      <c r="Q114" s="34"/>
      <c r="R114" s="34"/>
      <c r="S114" s="34"/>
    </row>
    <row r="115" spans="1:19" ht="16.350000000000001" customHeight="1">
      <c r="A115" s="16">
        <v>114</v>
      </c>
      <c r="B115" s="134" t="s">
        <v>5071</v>
      </c>
      <c r="C115" s="134" t="s">
        <v>7478</v>
      </c>
      <c r="D115" s="135">
        <v>9781466683013</v>
      </c>
      <c r="E115" s="135">
        <v>9781466683006</v>
      </c>
      <c r="F115" s="136" t="s">
        <v>7840</v>
      </c>
      <c r="G115" s="133">
        <v>1</v>
      </c>
      <c r="H115" s="134" t="s">
        <v>6518</v>
      </c>
      <c r="I115" s="134" t="s">
        <v>7441</v>
      </c>
      <c r="J115" s="134" t="s">
        <v>569</v>
      </c>
      <c r="K115" s="133">
        <v>2015</v>
      </c>
      <c r="L115" s="137" t="s">
        <v>7499</v>
      </c>
      <c r="M115" s="139"/>
      <c r="N115" s="147" t="s">
        <v>7841</v>
      </c>
      <c r="O115" s="34"/>
      <c r="P115" s="34"/>
      <c r="Q115" s="34"/>
      <c r="R115" s="34"/>
      <c r="S115" s="34"/>
    </row>
    <row r="116" spans="1:19" ht="16.350000000000001" customHeight="1">
      <c r="A116" s="16">
        <v>115</v>
      </c>
      <c r="B116" s="134" t="s">
        <v>5071</v>
      </c>
      <c r="C116" s="134" t="s">
        <v>7478</v>
      </c>
      <c r="D116" s="135">
        <v>9781466666085</v>
      </c>
      <c r="E116" s="135">
        <v>9781466666078</v>
      </c>
      <c r="F116" s="136" t="s">
        <v>7842</v>
      </c>
      <c r="G116" s="133">
        <v>1</v>
      </c>
      <c r="H116" s="134" t="s">
        <v>6518</v>
      </c>
      <c r="I116" s="134" t="s">
        <v>2975</v>
      </c>
      <c r="J116" s="134" t="s">
        <v>569</v>
      </c>
      <c r="K116" s="133">
        <v>2015</v>
      </c>
      <c r="L116" s="137" t="s">
        <v>7499</v>
      </c>
      <c r="M116" s="139"/>
      <c r="N116" s="147" t="s">
        <v>7843</v>
      </c>
      <c r="O116" s="34"/>
      <c r="P116" s="34"/>
      <c r="Q116" s="34"/>
      <c r="R116" s="34"/>
      <c r="S116" s="34"/>
    </row>
    <row r="117" spans="1:19" ht="16.350000000000001" customHeight="1">
      <c r="A117" s="16">
        <v>116</v>
      </c>
      <c r="B117" s="134" t="s">
        <v>5071</v>
      </c>
      <c r="C117" s="134" t="s">
        <v>7478</v>
      </c>
      <c r="D117" s="135">
        <v>9781522502685</v>
      </c>
      <c r="E117" s="135">
        <v>9781522502678</v>
      </c>
      <c r="F117" s="136" t="s">
        <v>7844</v>
      </c>
      <c r="G117" s="133">
        <v>1</v>
      </c>
      <c r="H117" s="134" t="s">
        <v>6518</v>
      </c>
      <c r="I117" s="134" t="s">
        <v>7845</v>
      </c>
      <c r="J117" s="134" t="s">
        <v>569</v>
      </c>
      <c r="K117" s="133">
        <v>2016</v>
      </c>
      <c r="L117" s="137" t="s">
        <v>7499</v>
      </c>
      <c r="M117" s="139"/>
      <c r="N117" s="147" t="s">
        <v>7846</v>
      </c>
      <c r="O117" s="34"/>
      <c r="P117" s="34"/>
      <c r="Q117" s="34"/>
      <c r="R117" s="34"/>
      <c r="S117" s="34"/>
    </row>
    <row r="118" spans="1:19" ht="16.350000000000001" customHeight="1">
      <c r="A118" s="16">
        <v>117</v>
      </c>
      <c r="B118" s="134" t="s">
        <v>5071</v>
      </c>
      <c r="C118" s="134" t="s">
        <v>7478</v>
      </c>
      <c r="D118" s="135">
        <v>9781522534525</v>
      </c>
      <c r="E118" s="135">
        <v>9781522534518</v>
      </c>
      <c r="F118" s="136" t="s">
        <v>7865</v>
      </c>
      <c r="G118" s="133">
        <v>1</v>
      </c>
      <c r="H118" s="134" t="s">
        <v>6518</v>
      </c>
      <c r="I118" s="134" t="s">
        <v>6297</v>
      </c>
      <c r="J118" s="134" t="s">
        <v>569</v>
      </c>
      <c r="K118" s="133">
        <v>2018</v>
      </c>
      <c r="L118" s="137" t="s">
        <v>7499</v>
      </c>
      <c r="M118" s="139"/>
      <c r="N118" s="147" t="s">
        <v>7866</v>
      </c>
      <c r="O118" s="34"/>
      <c r="P118" s="34"/>
      <c r="Q118" s="34"/>
      <c r="R118" s="34"/>
      <c r="S118" s="34"/>
    </row>
    <row r="119" spans="1:19" ht="16.350000000000001" customHeight="1">
      <c r="A119" s="16">
        <v>118</v>
      </c>
      <c r="B119" s="134" t="s">
        <v>5071</v>
      </c>
      <c r="C119" s="134" t="s">
        <v>7478</v>
      </c>
      <c r="D119" s="135">
        <v>9781522551683</v>
      </c>
      <c r="E119" s="135">
        <v>9781522551676</v>
      </c>
      <c r="F119" s="136" t="s">
        <v>7867</v>
      </c>
      <c r="G119" s="133">
        <v>1</v>
      </c>
      <c r="H119" s="134" t="s">
        <v>6518</v>
      </c>
      <c r="I119" s="134" t="s">
        <v>7868</v>
      </c>
      <c r="J119" s="134" t="s">
        <v>569</v>
      </c>
      <c r="K119" s="133">
        <v>2018</v>
      </c>
      <c r="L119" s="137" t="s">
        <v>7499</v>
      </c>
      <c r="M119" s="139"/>
      <c r="N119" s="147" t="s">
        <v>7869</v>
      </c>
      <c r="O119" s="34"/>
      <c r="P119" s="34"/>
      <c r="Q119" s="34"/>
      <c r="R119" s="34"/>
      <c r="S119" s="34"/>
    </row>
    <row r="120" spans="1:19" ht="16.350000000000001" customHeight="1">
      <c r="A120" s="16">
        <v>119</v>
      </c>
      <c r="B120" s="134" t="s">
        <v>5071</v>
      </c>
      <c r="C120" s="134" t="s">
        <v>7478</v>
      </c>
      <c r="D120" s="135">
        <v>9781522538158</v>
      </c>
      <c r="E120" s="135">
        <v>9781522538141</v>
      </c>
      <c r="F120" s="136" t="s">
        <v>7870</v>
      </c>
      <c r="G120" s="133">
        <v>1</v>
      </c>
      <c r="H120" s="134" t="s">
        <v>6518</v>
      </c>
      <c r="I120" s="134" t="s">
        <v>7871</v>
      </c>
      <c r="J120" s="134" t="s">
        <v>569</v>
      </c>
      <c r="K120" s="133">
        <v>2018</v>
      </c>
      <c r="L120" s="137" t="s">
        <v>7499</v>
      </c>
      <c r="M120" s="139"/>
      <c r="N120" s="147" t="s">
        <v>7872</v>
      </c>
      <c r="O120" s="34"/>
      <c r="P120" s="34"/>
      <c r="Q120" s="34"/>
      <c r="R120" s="34"/>
      <c r="S120" s="34"/>
    </row>
    <row r="121" spans="1:19" ht="16.350000000000001" customHeight="1">
      <c r="A121" s="16">
        <v>120</v>
      </c>
      <c r="B121" s="134" t="s">
        <v>5071</v>
      </c>
      <c r="C121" s="134" t="s">
        <v>7478</v>
      </c>
      <c r="D121" s="135">
        <v>9781522540816</v>
      </c>
      <c r="E121" s="135">
        <v>9781522540809</v>
      </c>
      <c r="F121" s="136" t="s">
        <v>7877</v>
      </c>
      <c r="G121" s="133">
        <v>1</v>
      </c>
      <c r="H121" s="134" t="s">
        <v>6518</v>
      </c>
      <c r="I121" s="134" t="s">
        <v>7878</v>
      </c>
      <c r="J121" s="134" t="s">
        <v>569</v>
      </c>
      <c r="K121" s="133">
        <v>2018</v>
      </c>
      <c r="L121" s="137" t="s">
        <v>7499</v>
      </c>
      <c r="M121" s="139"/>
      <c r="N121" s="147" t="s">
        <v>7879</v>
      </c>
      <c r="O121" s="34"/>
      <c r="P121" s="34"/>
      <c r="Q121" s="34"/>
      <c r="R121" s="34"/>
      <c r="S121" s="34"/>
    </row>
    <row r="122" spans="1:19" ht="16.350000000000001" customHeight="1">
      <c r="A122" s="16">
        <v>121</v>
      </c>
      <c r="B122" s="134" t="s">
        <v>5071</v>
      </c>
      <c r="C122" s="134" t="s">
        <v>7478</v>
      </c>
      <c r="D122" s="135">
        <v>9781522539414</v>
      </c>
      <c r="E122" s="135">
        <v>9781522539407</v>
      </c>
      <c r="F122" s="136" t="s">
        <v>7880</v>
      </c>
      <c r="G122" s="133">
        <v>1</v>
      </c>
      <c r="H122" s="134" t="s">
        <v>6518</v>
      </c>
      <c r="I122" s="134" t="s">
        <v>3730</v>
      </c>
      <c r="J122" s="134" t="s">
        <v>569</v>
      </c>
      <c r="K122" s="133">
        <v>2018</v>
      </c>
      <c r="L122" s="137" t="s">
        <v>7499</v>
      </c>
      <c r="M122" s="139"/>
      <c r="N122" s="147" t="s">
        <v>7881</v>
      </c>
      <c r="O122" s="34"/>
      <c r="P122" s="34"/>
      <c r="Q122" s="34"/>
      <c r="R122" s="34"/>
      <c r="S122" s="34"/>
    </row>
    <row r="123" spans="1:19" ht="16.350000000000001" customHeight="1">
      <c r="A123" s="16">
        <v>122</v>
      </c>
      <c r="B123" s="134" t="s">
        <v>5071</v>
      </c>
      <c r="C123" s="134" t="s">
        <v>7478</v>
      </c>
      <c r="D123" s="135">
        <v>9781522551041</v>
      </c>
      <c r="E123" s="135">
        <v>9781522551034</v>
      </c>
      <c r="F123" s="136" t="s">
        <v>7891</v>
      </c>
      <c r="G123" s="133">
        <v>1</v>
      </c>
      <c r="H123" s="134" t="s">
        <v>6518</v>
      </c>
      <c r="I123" s="134" t="s">
        <v>7892</v>
      </c>
      <c r="J123" s="134" t="s">
        <v>569</v>
      </c>
      <c r="K123" s="133">
        <v>2018</v>
      </c>
      <c r="L123" s="137" t="s">
        <v>7499</v>
      </c>
      <c r="M123" s="139"/>
      <c r="N123" s="147" t="s">
        <v>7893</v>
      </c>
      <c r="O123" s="34"/>
      <c r="P123" s="34"/>
      <c r="Q123" s="34"/>
      <c r="R123" s="34"/>
      <c r="S123" s="34"/>
    </row>
    <row r="124" spans="1:19" ht="16.350000000000001" customHeight="1">
      <c r="A124" s="16">
        <v>123</v>
      </c>
      <c r="B124" s="134" t="s">
        <v>5071</v>
      </c>
      <c r="C124" s="134" t="s">
        <v>7478</v>
      </c>
      <c r="D124" s="135">
        <v>9781522531210</v>
      </c>
      <c r="E124" s="135">
        <v>9781522531203</v>
      </c>
      <c r="F124" s="136" t="s">
        <v>7894</v>
      </c>
      <c r="G124" s="133">
        <v>1</v>
      </c>
      <c r="H124" s="134" t="s">
        <v>6518</v>
      </c>
      <c r="I124" s="134" t="s">
        <v>7895</v>
      </c>
      <c r="J124" s="134" t="s">
        <v>569</v>
      </c>
      <c r="K124" s="133">
        <v>2018</v>
      </c>
      <c r="L124" s="137" t="s">
        <v>7499</v>
      </c>
      <c r="M124" s="139"/>
      <c r="N124" s="147" t="s">
        <v>7896</v>
      </c>
      <c r="O124" s="34"/>
      <c r="P124" s="34"/>
      <c r="Q124" s="34"/>
      <c r="R124" s="34"/>
      <c r="S124" s="34"/>
    </row>
    <row r="125" spans="1:19" ht="16.350000000000001" customHeight="1">
      <c r="A125" s="16">
        <v>124</v>
      </c>
      <c r="B125" s="134" t="s">
        <v>5071</v>
      </c>
      <c r="C125" s="134" t="s">
        <v>7478</v>
      </c>
      <c r="D125" s="135">
        <v>9781522578154</v>
      </c>
      <c r="E125" s="135">
        <v>9781522578147</v>
      </c>
      <c r="F125" s="136" t="s">
        <v>7905</v>
      </c>
      <c r="G125" s="133">
        <v>1</v>
      </c>
      <c r="H125" s="134" t="s">
        <v>6518</v>
      </c>
      <c r="I125" s="134" t="s">
        <v>7906</v>
      </c>
      <c r="J125" s="134" t="s">
        <v>569</v>
      </c>
      <c r="K125" s="133">
        <v>2019</v>
      </c>
      <c r="L125" s="137" t="s">
        <v>7499</v>
      </c>
      <c r="M125" s="139"/>
      <c r="N125" s="147" t="s">
        <v>7907</v>
      </c>
      <c r="O125" s="34"/>
      <c r="P125" s="34"/>
      <c r="Q125" s="34"/>
      <c r="R125" s="34"/>
      <c r="S125" s="34"/>
    </row>
    <row r="126" spans="1:19" ht="16.350000000000001" customHeight="1">
      <c r="A126" s="16">
        <v>125</v>
      </c>
      <c r="B126" s="134" t="s">
        <v>5071</v>
      </c>
      <c r="C126" s="134" t="s">
        <v>7478</v>
      </c>
      <c r="D126" s="135">
        <v>9781522581802</v>
      </c>
      <c r="E126" s="135">
        <v>9781522581796</v>
      </c>
      <c r="F126" s="136" t="s">
        <v>7908</v>
      </c>
      <c r="G126" s="133">
        <v>1</v>
      </c>
      <c r="H126" s="134" t="s">
        <v>6518</v>
      </c>
      <c r="I126" s="134" t="s">
        <v>3446</v>
      </c>
      <c r="J126" s="134" t="s">
        <v>569</v>
      </c>
      <c r="K126" s="133">
        <v>2019</v>
      </c>
      <c r="L126" s="137" t="s">
        <v>7499</v>
      </c>
      <c r="M126" s="138" t="s">
        <v>7909</v>
      </c>
      <c r="N126" s="147" t="s">
        <v>7910</v>
      </c>
      <c r="O126" s="34"/>
      <c r="P126" s="34"/>
      <c r="Q126" s="34"/>
      <c r="R126" s="34"/>
      <c r="S126" s="34"/>
    </row>
    <row r="127" spans="1:19" ht="16.350000000000001" customHeight="1">
      <c r="A127" s="16">
        <v>126</v>
      </c>
      <c r="B127" s="134" t="s">
        <v>5071</v>
      </c>
      <c r="C127" s="134" t="s">
        <v>7478</v>
      </c>
      <c r="D127" s="135">
        <v>9781522574361</v>
      </c>
      <c r="E127" s="135">
        <v>9781522574354</v>
      </c>
      <c r="F127" s="136" t="s">
        <v>7919</v>
      </c>
      <c r="G127" s="133">
        <v>1</v>
      </c>
      <c r="H127" s="134" t="s">
        <v>6518</v>
      </c>
      <c r="I127" s="134" t="s">
        <v>7920</v>
      </c>
      <c r="J127" s="134" t="s">
        <v>569</v>
      </c>
      <c r="K127" s="133">
        <v>2019</v>
      </c>
      <c r="L127" s="137" t="s">
        <v>7499</v>
      </c>
      <c r="M127" s="139"/>
      <c r="N127" s="147" t="s">
        <v>7921</v>
      </c>
      <c r="O127" s="34"/>
      <c r="P127" s="34"/>
      <c r="Q127" s="34"/>
      <c r="R127" s="34"/>
      <c r="S127" s="34"/>
    </row>
    <row r="128" spans="1:19" ht="16.350000000000001" customHeight="1">
      <c r="A128" s="16">
        <v>127</v>
      </c>
      <c r="B128" s="134" t="s">
        <v>5071</v>
      </c>
      <c r="C128" s="134" t="s">
        <v>7478</v>
      </c>
      <c r="D128" s="135">
        <v>9781522533993</v>
      </c>
      <c r="E128" s="135">
        <v>9781522533986</v>
      </c>
      <c r="F128" s="136" t="s">
        <v>7929</v>
      </c>
      <c r="G128" s="133">
        <v>1</v>
      </c>
      <c r="H128" s="134" t="s">
        <v>6518</v>
      </c>
      <c r="I128" s="134" t="s">
        <v>7930</v>
      </c>
      <c r="J128" s="134" t="s">
        <v>569</v>
      </c>
      <c r="K128" s="133">
        <v>2019</v>
      </c>
      <c r="L128" s="137" t="s">
        <v>7499</v>
      </c>
      <c r="M128" s="139"/>
      <c r="N128" s="147" t="s">
        <v>7931</v>
      </c>
      <c r="O128" s="34"/>
      <c r="P128" s="34"/>
      <c r="Q128" s="34"/>
      <c r="R128" s="34"/>
      <c r="S128" s="34"/>
    </row>
    <row r="129" spans="1:19" ht="16.350000000000001" customHeight="1">
      <c r="A129" s="16">
        <v>128</v>
      </c>
      <c r="B129" s="134" t="s">
        <v>5071</v>
      </c>
      <c r="C129" s="134" t="s">
        <v>7478</v>
      </c>
      <c r="D129" s="135">
        <v>9781522580706</v>
      </c>
      <c r="E129" s="135">
        <v>9781522580690</v>
      </c>
      <c r="F129" s="136" t="s">
        <v>7953</v>
      </c>
      <c r="G129" s="133">
        <v>1</v>
      </c>
      <c r="H129" s="134" t="s">
        <v>6518</v>
      </c>
      <c r="I129" s="134" t="s">
        <v>7954</v>
      </c>
      <c r="J129" s="134" t="s">
        <v>569</v>
      </c>
      <c r="K129" s="133">
        <v>2019</v>
      </c>
      <c r="L129" s="137" t="s">
        <v>7499</v>
      </c>
      <c r="M129" s="139"/>
      <c r="N129" s="147" t="s">
        <v>7955</v>
      </c>
      <c r="O129" s="34"/>
      <c r="P129" s="34"/>
      <c r="Q129" s="34"/>
      <c r="R129" s="34"/>
      <c r="S129" s="34"/>
    </row>
    <row r="130" spans="1:19" ht="16.350000000000001" customHeight="1">
      <c r="A130" s="16">
        <v>129</v>
      </c>
      <c r="B130" s="134" t="s">
        <v>5071</v>
      </c>
      <c r="C130" s="134" t="s">
        <v>7478</v>
      </c>
      <c r="D130" s="135">
        <v>9781522572879</v>
      </c>
      <c r="E130" s="135">
        <v>9781522572862</v>
      </c>
      <c r="F130" s="136" t="s">
        <v>7956</v>
      </c>
      <c r="G130" s="133">
        <v>1</v>
      </c>
      <c r="H130" s="134" t="s">
        <v>6518</v>
      </c>
      <c r="I130" s="134" t="s">
        <v>7957</v>
      </c>
      <c r="J130" s="134" t="s">
        <v>569</v>
      </c>
      <c r="K130" s="133">
        <v>2019</v>
      </c>
      <c r="L130" s="137" t="s">
        <v>7499</v>
      </c>
      <c r="M130" s="139"/>
      <c r="N130" s="147" t="s">
        <v>7958</v>
      </c>
      <c r="O130" s="34"/>
      <c r="P130" s="34"/>
      <c r="Q130" s="34"/>
      <c r="R130" s="34"/>
      <c r="S130" s="34"/>
    </row>
    <row r="131" spans="1:19" ht="16.350000000000001" customHeight="1">
      <c r="A131" s="16">
        <v>130</v>
      </c>
      <c r="B131" s="134" t="s">
        <v>5071</v>
      </c>
      <c r="C131" s="134" t="s">
        <v>7478</v>
      </c>
      <c r="D131" s="135">
        <v>9781522558477</v>
      </c>
      <c r="E131" s="135">
        <v>9781522558460</v>
      </c>
      <c r="F131" s="136" t="s">
        <v>8013</v>
      </c>
      <c r="G131" s="133">
        <v>1</v>
      </c>
      <c r="H131" s="134" t="s">
        <v>6518</v>
      </c>
      <c r="I131" s="134" t="s">
        <v>8014</v>
      </c>
      <c r="J131" s="134" t="s">
        <v>569</v>
      </c>
      <c r="K131" s="133">
        <v>2019</v>
      </c>
      <c r="L131" s="137" t="s">
        <v>7499</v>
      </c>
      <c r="M131" s="139"/>
      <c r="N131" s="147" t="s">
        <v>8015</v>
      </c>
      <c r="O131" s="34"/>
      <c r="P131" s="34"/>
      <c r="Q131" s="34"/>
      <c r="R131" s="34"/>
      <c r="S131" s="34"/>
    </row>
    <row r="132" spans="1:19" ht="16.350000000000001" customHeight="1">
      <c r="A132" s="16">
        <v>131</v>
      </c>
      <c r="B132" s="134" t="s">
        <v>5071</v>
      </c>
      <c r="C132" s="134" t="s">
        <v>7478</v>
      </c>
      <c r="D132" s="135">
        <v>9781522552321</v>
      </c>
      <c r="E132" s="135">
        <v>9781522552314</v>
      </c>
      <c r="F132" s="136" t="s">
        <v>8018</v>
      </c>
      <c r="G132" s="133">
        <v>1</v>
      </c>
      <c r="H132" s="134" t="s">
        <v>6518</v>
      </c>
      <c r="I132" s="134" t="s">
        <v>8019</v>
      </c>
      <c r="J132" s="134" t="s">
        <v>569</v>
      </c>
      <c r="K132" s="133">
        <v>2019</v>
      </c>
      <c r="L132" s="137" t="s">
        <v>7499</v>
      </c>
      <c r="M132" s="139"/>
      <c r="N132" s="147" t="s">
        <v>8020</v>
      </c>
      <c r="O132" s="34"/>
      <c r="P132" s="34"/>
      <c r="Q132" s="34"/>
      <c r="R132" s="34"/>
      <c r="S132" s="34"/>
    </row>
    <row r="133" spans="1:19" ht="16.350000000000001" customHeight="1">
      <c r="A133" s="16">
        <v>132</v>
      </c>
      <c r="B133" s="134" t="s">
        <v>5071</v>
      </c>
      <c r="C133" s="134" t="s">
        <v>7478</v>
      </c>
      <c r="D133" s="135">
        <v>9781522553182</v>
      </c>
      <c r="E133" s="135">
        <v>9781522553175</v>
      </c>
      <c r="F133" s="136" t="s">
        <v>8024</v>
      </c>
      <c r="G133" s="133">
        <v>1</v>
      </c>
      <c r="H133" s="134" t="s">
        <v>6518</v>
      </c>
      <c r="I133" s="134" t="s">
        <v>8025</v>
      </c>
      <c r="J133" s="134" t="s">
        <v>569</v>
      </c>
      <c r="K133" s="133">
        <v>2019</v>
      </c>
      <c r="L133" s="137" t="s">
        <v>7499</v>
      </c>
      <c r="M133" s="139"/>
      <c r="N133" s="147" t="s">
        <v>8026</v>
      </c>
      <c r="O133" s="34"/>
      <c r="P133" s="34"/>
      <c r="Q133" s="34"/>
      <c r="R133" s="34"/>
      <c r="S133" s="34"/>
    </row>
    <row r="134" spans="1:19" ht="16.350000000000001" customHeight="1">
      <c r="A134" s="16">
        <v>133</v>
      </c>
      <c r="B134" s="134" t="s">
        <v>5071</v>
      </c>
      <c r="C134" s="134" t="s">
        <v>7478</v>
      </c>
      <c r="D134" s="135">
        <v>9781522573661</v>
      </c>
      <c r="E134" s="135">
        <v>9781522573654</v>
      </c>
      <c r="F134" s="136" t="s">
        <v>8030</v>
      </c>
      <c r="G134" s="133">
        <v>1</v>
      </c>
      <c r="H134" s="134" t="s">
        <v>6518</v>
      </c>
      <c r="I134" s="134" t="s">
        <v>2596</v>
      </c>
      <c r="J134" s="134" t="s">
        <v>569</v>
      </c>
      <c r="K134" s="133">
        <v>2019</v>
      </c>
      <c r="L134" s="137" t="s">
        <v>7499</v>
      </c>
      <c r="M134" s="138" t="s">
        <v>8031</v>
      </c>
      <c r="N134" s="147" t="s">
        <v>8032</v>
      </c>
      <c r="O134" s="34"/>
      <c r="P134" s="34"/>
      <c r="Q134" s="34"/>
      <c r="R134" s="34"/>
      <c r="S134" s="34"/>
    </row>
    <row r="135" spans="1:19" ht="16.350000000000001" customHeight="1">
      <c r="A135" s="16">
        <v>134</v>
      </c>
      <c r="B135" s="134" t="s">
        <v>5071</v>
      </c>
      <c r="C135" s="134" t="s">
        <v>7478</v>
      </c>
      <c r="D135" s="135">
        <v>9781522557135</v>
      </c>
      <c r="E135" s="135">
        <v>9781522557128</v>
      </c>
      <c r="F135" s="136" t="s">
        <v>8080</v>
      </c>
      <c r="G135" s="133">
        <v>1</v>
      </c>
      <c r="H135" s="134" t="s">
        <v>6518</v>
      </c>
      <c r="I135" s="134" t="s">
        <v>8081</v>
      </c>
      <c r="J135" s="134" t="s">
        <v>569</v>
      </c>
      <c r="K135" s="133">
        <v>2019</v>
      </c>
      <c r="L135" s="137" t="s">
        <v>7499</v>
      </c>
      <c r="M135" s="139"/>
      <c r="N135" s="147" t="s">
        <v>8082</v>
      </c>
      <c r="O135" s="34"/>
      <c r="P135" s="34"/>
      <c r="Q135" s="34"/>
      <c r="R135" s="34"/>
      <c r="S135" s="34"/>
    </row>
    <row r="136" spans="1:19" ht="16.350000000000001" customHeight="1">
      <c r="A136" s="16">
        <v>135</v>
      </c>
      <c r="B136" s="134" t="s">
        <v>5071</v>
      </c>
      <c r="C136" s="134" t="s">
        <v>7478</v>
      </c>
      <c r="D136" s="135">
        <v>9781522562689</v>
      </c>
      <c r="E136" s="135">
        <v>9781522562672</v>
      </c>
      <c r="F136" s="136" t="s">
        <v>8085</v>
      </c>
      <c r="G136" s="133">
        <v>1</v>
      </c>
      <c r="H136" s="134" t="s">
        <v>6518</v>
      </c>
      <c r="I136" s="134" t="s">
        <v>6559</v>
      </c>
      <c r="J136" s="134" t="s">
        <v>569</v>
      </c>
      <c r="K136" s="133">
        <v>2019</v>
      </c>
      <c r="L136" s="137" t="s">
        <v>7499</v>
      </c>
      <c r="M136" s="139"/>
      <c r="N136" s="147" t="s">
        <v>8086</v>
      </c>
      <c r="O136" s="34"/>
      <c r="P136" s="34"/>
      <c r="Q136" s="34"/>
      <c r="R136" s="34"/>
      <c r="S136" s="34"/>
    </row>
    <row r="137" spans="1:19" ht="16.350000000000001" customHeight="1">
      <c r="A137" s="16">
        <v>136</v>
      </c>
      <c r="B137" s="134" t="s">
        <v>5071</v>
      </c>
      <c r="C137" s="134" t="s">
        <v>7478</v>
      </c>
      <c r="D137" s="135">
        <v>9781522561590</v>
      </c>
      <c r="E137" s="135">
        <v>9781522561583</v>
      </c>
      <c r="F137" s="136" t="s">
        <v>8092</v>
      </c>
      <c r="G137" s="133">
        <v>1</v>
      </c>
      <c r="H137" s="134" t="s">
        <v>6518</v>
      </c>
      <c r="I137" s="134" t="s">
        <v>8093</v>
      </c>
      <c r="J137" s="134" t="s">
        <v>569</v>
      </c>
      <c r="K137" s="133">
        <v>2019</v>
      </c>
      <c r="L137" s="137" t="s">
        <v>7499</v>
      </c>
      <c r="M137" s="139"/>
      <c r="N137" s="147" t="s">
        <v>8094</v>
      </c>
      <c r="O137" s="34"/>
      <c r="P137" s="34"/>
      <c r="Q137" s="34"/>
      <c r="R137" s="34"/>
      <c r="S137" s="34"/>
    </row>
    <row r="138" spans="1:19" ht="16.350000000000001" customHeight="1">
      <c r="A138" s="16">
        <v>137</v>
      </c>
      <c r="B138" s="134" t="s">
        <v>5071</v>
      </c>
      <c r="C138" s="134" t="s">
        <v>7478</v>
      </c>
      <c r="D138" s="135">
        <v>9781522560272</v>
      </c>
      <c r="E138" s="135">
        <v>9781522560265</v>
      </c>
      <c r="F138" s="136" t="s">
        <v>8106</v>
      </c>
      <c r="G138" s="133">
        <v>1</v>
      </c>
      <c r="H138" s="134" t="s">
        <v>6518</v>
      </c>
      <c r="I138" s="134" t="s">
        <v>8107</v>
      </c>
      <c r="J138" s="134" t="s">
        <v>569</v>
      </c>
      <c r="K138" s="133">
        <v>2019</v>
      </c>
      <c r="L138" s="137" t="s">
        <v>7499</v>
      </c>
      <c r="M138" s="139"/>
      <c r="N138" s="147" t="s">
        <v>8108</v>
      </c>
      <c r="O138" s="34"/>
      <c r="P138" s="34"/>
      <c r="Q138" s="34"/>
      <c r="R138" s="34"/>
      <c r="S138" s="34"/>
    </row>
    <row r="139" spans="1:19" ht="16.350000000000001" customHeight="1">
      <c r="A139" s="16">
        <v>138</v>
      </c>
      <c r="B139" s="134" t="s">
        <v>5071</v>
      </c>
      <c r="C139" s="134" t="s">
        <v>7478</v>
      </c>
      <c r="D139" s="135">
        <v>9781522575320</v>
      </c>
      <c r="E139" s="135">
        <v>9781522575313</v>
      </c>
      <c r="F139" s="136" t="s">
        <v>8138</v>
      </c>
      <c r="G139" s="133">
        <v>1</v>
      </c>
      <c r="H139" s="134" t="s">
        <v>6518</v>
      </c>
      <c r="I139" s="134" t="s">
        <v>7871</v>
      </c>
      <c r="J139" s="134" t="s">
        <v>569</v>
      </c>
      <c r="K139" s="133">
        <v>2019</v>
      </c>
      <c r="L139" s="137" t="s">
        <v>7499</v>
      </c>
      <c r="M139" s="139"/>
      <c r="N139" s="147" t="s">
        <v>8139</v>
      </c>
      <c r="O139" s="34"/>
      <c r="P139" s="34"/>
      <c r="Q139" s="34"/>
      <c r="R139" s="34"/>
      <c r="S139" s="34"/>
    </row>
    <row r="140" spans="1:19" ht="16.350000000000001" customHeight="1">
      <c r="A140" s="16">
        <v>139</v>
      </c>
      <c r="B140" s="134" t="s">
        <v>5071</v>
      </c>
      <c r="C140" s="134" t="s">
        <v>7478</v>
      </c>
      <c r="D140" s="135">
        <v>9781522580430</v>
      </c>
      <c r="E140" s="135">
        <v>9781522580423</v>
      </c>
      <c r="F140" s="136" t="s">
        <v>8140</v>
      </c>
      <c r="G140" s="133">
        <v>1</v>
      </c>
      <c r="H140" s="134" t="s">
        <v>6518</v>
      </c>
      <c r="I140" s="134" t="s">
        <v>8141</v>
      </c>
      <c r="J140" s="134" t="s">
        <v>569</v>
      </c>
      <c r="K140" s="133">
        <v>2019</v>
      </c>
      <c r="L140" s="137" t="s">
        <v>7499</v>
      </c>
      <c r="M140" s="139"/>
      <c r="N140" s="147" t="s">
        <v>8142</v>
      </c>
      <c r="O140" s="34"/>
      <c r="P140" s="34"/>
      <c r="Q140" s="34"/>
      <c r="R140" s="34"/>
      <c r="S140" s="34"/>
    </row>
    <row r="141" spans="1:19" ht="16.350000000000001" customHeight="1">
      <c r="A141" s="16">
        <v>140</v>
      </c>
      <c r="B141" s="134" t="s">
        <v>5071</v>
      </c>
      <c r="C141" s="134" t="s">
        <v>7478</v>
      </c>
      <c r="D141" s="135">
        <v>9781522581291</v>
      </c>
      <c r="E141" s="135">
        <v>9781522581284</v>
      </c>
      <c r="F141" s="136" t="s">
        <v>8143</v>
      </c>
      <c r="G141" s="133">
        <v>1</v>
      </c>
      <c r="H141" s="134" t="s">
        <v>6518</v>
      </c>
      <c r="I141" s="134" t="s">
        <v>8144</v>
      </c>
      <c r="J141" s="134" t="s">
        <v>569</v>
      </c>
      <c r="K141" s="133">
        <v>2019</v>
      </c>
      <c r="L141" s="137" t="s">
        <v>7499</v>
      </c>
      <c r="M141" s="139"/>
      <c r="N141" s="147" t="s">
        <v>8145</v>
      </c>
      <c r="O141" s="34"/>
      <c r="P141" s="34"/>
      <c r="Q141" s="34"/>
      <c r="R141" s="34"/>
      <c r="S141" s="34"/>
    </row>
    <row r="142" spans="1:19" ht="16.350000000000001" customHeight="1">
      <c r="A142" s="16">
        <v>141</v>
      </c>
      <c r="B142" s="134" t="s">
        <v>5071</v>
      </c>
      <c r="C142" s="134" t="s">
        <v>7478</v>
      </c>
      <c r="D142" s="135">
        <v>9781522588689</v>
      </c>
      <c r="E142" s="135">
        <v>9781522588672</v>
      </c>
      <c r="F142" s="136" t="s">
        <v>8185</v>
      </c>
      <c r="G142" s="133">
        <v>1</v>
      </c>
      <c r="H142" s="134" t="s">
        <v>6518</v>
      </c>
      <c r="I142" s="134" t="s">
        <v>8186</v>
      </c>
      <c r="J142" s="134" t="s">
        <v>569</v>
      </c>
      <c r="K142" s="133">
        <v>2019</v>
      </c>
      <c r="L142" s="137" t="s">
        <v>7499</v>
      </c>
      <c r="M142" s="139"/>
      <c r="N142" s="147" t="s">
        <v>8187</v>
      </c>
      <c r="O142" s="34"/>
      <c r="P142" s="34"/>
      <c r="Q142" s="34"/>
      <c r="R142" s="34"/>
      <c r="S142" s="34"/>
    </row>
    <row r="143" spans="1:19" ht="16.350000000000001" customHeight="1">
      <c r="A143" s="16">
        <v>142</v>
      </c>
      <c r="B143" s="134" t="s">
        <v>5071</v>
      </c>
      <c r="C143" s="134" t="s">
        <v>7478</v>
      </c>
      <c r="D143" s="135">
        <v>9781522552291</v>
      </c>
      <c r="E143" s="135">
        <v>9781522552284</v>
      </c>
      <c r="F143" s="136" t="s">
        <v>8190</v>
      </c>
      <c r="G143" s="133">
        <v>1</v>
      </c>
      <c r="H143" s="134" t="s">
        <v>6518</v>
      </c>
      <c r="I143" s="134" t="s">
        <v>8191</v>
      </c>
      <c r="J143" s="134" t="s">
        <v>569</v>
      </c>
      <c r="K143" s="133">
        <v>2019</v>
      </c>
      <c r="L143" s="137" t="s">
        <v>7499</v>
      </c>
      <c r="M143" s="139"/>
      <c r="N143" s="147" t="s">
        <v>8192</v>
      </c>
      <c r="O143" s="34"/>
      <c r="P143" s="34"/>
      <c r="Q143" s="34"/>
      <c r="R143" s="34"/>
      <c r="S143" s="34"/>
    </row>
    <row r="144" spans="1:19" ht="16.350000000000001" customHeight="1">
      <c r="A144" s="16">
        <v>143</v>
      </c>
      <c r="B144" s="134" t="s">
        <v>5071</v>
      </c>
      <c r="C144" s="134" t="s">
        <v>8174</v>
      </c>
      <c r="D144" s="135">
        <v>9781522582182</v>
      </c>
      <c r="E144" s="135">
        <v>9781522582175</v>
      </c>
      <c r="F144" s="136" t="s">
        <v>8175</v>
      </c>
      <c r="G144" s="133">
        <v>1</v>
      </c>
      <c r="H144" s="134" t="s">
        <v>6518</v>
      </c>
      <c r="I144" s="134" t="s">
        <v>8176</v>
      </c>
      <c r="J144" s="134" t="s">
        <v>569</v>
      </c>
      <c r="K144" s="133">
        <v>2019</v>
      </c>
      <c r="L144" s="137" t="s">
        <v>7499</v>
      </c>
      <c r="M144" s="139"/>
      <c r="N144" s="147" t="s">
        <v>8177</v>
      </c>
      <c r="O144" s="34"/>
      <c r="P144" s="34"/>
      <c r="Q144" s="34"/>
      <c r="R144" s="34"/>
      <c r="S144" s="34"/>
    </row>
    <row r="145" spans="1:19" ht="16.350000000000001" customHeight="1">
      <c r="A145" s="16">
        <v>144</v>
      </c>
      <c r="B145" s="134" t="s">
        <v>5071</v>
      </c>
      <c r="C145" s="134" t="s">
        <v>8174</v>
      </c>
      <c r="D145" s="135">
        <v>9781522589013</v>
      </c>
      <c r="E145" s="135">
        <v>9781522589006</v>
      </c>
      <c r="F145" s="136" t="s">
        <v>8178</v>
      </c>
      <c r="G145" s="133">
        <v>1</v>
      </c>
      <c r="H145" s="134" t="s">
        <v>6518</v>
      </c>
      <c r="I145" s="134" t="s">
        <v>3446</v>
      </c>
      <c r="J145" s="134" t="s">
        <v>569</v>
      </c>
      <c r="K145" s="133">
        <v>2019</v>
      </c>
      <c r="L145" s="137" t="s">
        <v>7499</v>
      </c>
      <c r="M145" s="138" t="s">
        <v>8179</v>
      </c>
      <c r="N145" s="147" t="s">
        <v>8180</v>
      </c>
      <c r="O145" s="34"/>
      <c r="P145" s="34"/>
      <c r="Q145" s="34"/>
      <c r="R145" s="34"/>
      <c r="S145" s="34"/>
    </row>
    <row r="146" spans="1:19" ht="16.350000000000001" customHeight="1">
      <c r="A146" s="16">
        <v>145</v>
      </c>
      <c r="B146" s="134" t="s">
        <v>5071</v>
      </c>
      <c r="C146" s="134" t="s">
        <v>8174</v>
      </c>
      <c r="D146" s="135">
        <v>9781522584506</v>
      </c>
      <c r="E146" s="135">
        <v>9781522584490</v>
      </c>
      <c r="F146" s="136" t="s">
        <v>8183</v>
      </c>
      <c r="G146" s="133">
        <v>1</v>
      </c>
      <c r="H146" s="134" t="s">
        <v>6518</v>
      </c>
      <c r="I146" s="134" t="s">
        <v>7021</v>
      </c>
      <c r="J146" s="134" t="s">
        <v>569</v>
      </c>
      <c r="K146" s="133">
        <v>2019</v>
      </c>
      <c r="L146" s="137" t="s">
        <v>7499</v>
      </c>
      <c r="M146" s="139"/>
      <c r="N146" s="147" t="s">
        <v>8184</v>
      </c>
      <c r="O146" s="34"/>
      <c r="P146" s="34"/>
      <c r="Q146" s="34"/>
      <c r="R146" s="34"/>
      <c r="S146" s="34"/>
    </row>
    <row r="147" spans="1:19" ht="16.350000000000001" customHeight="1">
      <c r="A147" s="16">
        <v>146</v>
      </c>
      <c r="B147" s="134" t="s">
        <v>5071</v>
      </c>
      <c r="C147" s="134" t="s">
        <v>8164</v>
      </c>
      <c r="D147" s="135">
        <v>9781522572572</v>
      </c>
      <c r="E147" s="135">
        <v>9781522572565</v>
      </c>
      <c r="F147" s="136" t="s">
        <v>8165</v>
      </c>
      <c r="G147" s="133">
        <v>1</v>
      </c>
      <c r="H147" s="134" t="s">
        <v>6518</v>
      </c>
      <c r="I147" s="134" t="s">
        <v>8166</v>
      </c>
      <c r="J147" s="134" t="s">
        <v>569</v>
      </c>
      <c r="K147" s="133">
        <v>2019</v>
      </c>
      <c r="L147" s="137" t="s">
        <v>7499</v>
      </c>
      <c r="M147" s="139"/>
      <c r="N147" s="147" t="s">
        <v>8167</v>
      </c>
      <c r="O147" s="34"/>
      <c r="P147" s="34"/>
      <c r="Q147" s="34"/>
      <c r="R147" s="34"/>
      <c r="S147" s="34"/>
    </row>
    <row r="148" spans="1:19" ht="16.350000000000001" customHeight="1">
      <c r="A148" s="16">
        <v>147</v>
      </c>
      <c r="B148" s="134" t="s">
        <v>5071</v>
      </c>
      <c r="C148" s="134" t="s">
        <v>7482</v>
      </c>
      <c r="D148" s="135">
        <v>9781522516750</v>
      </c>
      <c r="E148" s="135">
        <v>9781522516743</v>
      </c>
      <c r="F148" s="136" t="s">
        <v>7850</v>
      </c>
      <c r="G148" s="133">
        <v>1</v>
      </c>
      <c r="H148" s="134" t="s">
        <v>6518</v>
      </c>
      <c r="I148" s="134" t="s">
        <v>3446</v>
      </c>
      <c r="J148" s="134" t="s">
        <v>569</v>
      </c>
      <c r="K148" s="133">
        <v>2017</v>
      </c>
      <c r="L148" s="137" t="s">
        <v>7499</v>
      </c>
      <c r="M148" s="138" t="s">
        <v>7851</v>
      </c>
      <c r="N148" s="147" t="s">
        <v>7852</v>
      </c>
      <c r="O148" s="34"/>
      <c r="P148" s="34"/>
      <c r="Q148" s="34"/>
      <c r="R148" s="34"/>
      <c r="S148" s="34"/>
    </row>
    <row r="149" spans="1:19" ht="16.350000000000001" customHeight="1">
      <c r="A149" s="16">
        <v>148</v>
      </c>
      <c r="B149" s="134" t="s">
        <v>5071</v>
      </c>
      <c r="C149" s="134" t="s">
        <v>7482</v>
      </c>
      <c r="D149" s="135">
        <v>9781522559672</v>
      </c>
      <c r="E149" s="135">
        <v>9781522559665</v>
      </c>
      <c r="F149" s="136" t="s">
        <v>7862</v>
      </c>
      <c r="G149" s="133">
        <v>1</v>
      </c>
      <c r="H149" s="134" t="s">
        <v>6518</v>
      </c>
      <c r="I149" s="134" t="s">
        <v>7863</v>
      </c>
      <c r="J149" s="134" t="s">
        <v>569</v>
      </c>
      <c r="K149" s="133">
        <v>2018</v>
      </c>
      <c r="L149" s="137" t="s">
        <v>7499</v>
      </c>
      <c r="M149" s="139"/>
      <c r="N149" s="147" t="s">
        <v>7864</v>
      </c>
      <c r="O149" s="34"/>
      <c r="P149" s="34"/>
      <c r="Q149" s="34"/>
      <c r="R149" s="34"/>
      <c r="S149" s="34"/>
    </row>
    <row r="150" spans="1:19" ht="16.350000000000001" customHeight="1">
      <c r="A150" s="16">
        <v>149</v>
      </c>
      <c r="B150" s="134" t="s">
        <v>5071</v>
      </c>
      <c r="C150" s="134" t="s">
        <v>7482</v>
      </c>
      <c r="D150" s="135">
        <v>9781522551195</v>
      </c>
      <c r="E150" s="135">
        <v>9781522551188</v>
      </c>
      <c r="F150" s="136" t="s">
        <v>7888</v>
      </c>
      <c r="G150" s="133">
        <v>1</v>
      </c>
      <c r="H150" s="134" t="s">
        <v>6518</v>
      </c>
      <c r="I150" s="134" t="s">
        <v>7889</v>
      </c>
      <c r="J150" s="134" t="s">
        <v>569</v>
      </c>
      <c r="K150" s="133">
        <v>2018</v>
      </c>
      <c r="L150" s="137" t="s">
        <v>7499</v>
      </c>
      <c r="M150" s="139"/>
      <c r="N150" s="147" t="s">
        <v>7890</v>
      </c>
      <c r="O150" s="34"/>
      <c r="P150" s="34"/>
      <c r="Q150" s="34"/>
      <c r="R150" s="34"/>
      <c r="S150" s="34"/>
    </row>
    <row r="151" spans="1:19" ht="16.350000000000001" customHeight="1">
      <c r="A151" s="16">
        <v>150</v>
      </c>
      <c r="B151" s="134" t="s">
        <v>5071</v>
      </c>
      <c r="C151" s="134" t="s">
        <v>7482</v>
      </c>
      <c r="D151" s="135">
        <v>9781522576709</v>
      </c>
      <c r="E151" s="135">
        <v>9781522576693</v>
      </c>
      <c r="F151" s="136" t="s">
        <v>7947</v>
      </c>
      <c r="G151" s="133">
        <v>1</v>
      </c>
      <c r="H151" s="134" t="s">
        <v>6518</v>
      </c>
      <c r="I151" s="134" t="s">
        <v>3446</v>
      </c>
      <c r="J151" s="134" t="s">
        <v>569</v>
      </c>
      <c r="K151" s="133">
        <v>2019</v>
      </c>
      <c r="L151" s="137" t="s">
        <v>7499</v>
      </c>
      <c r="M151" s="138" t="s">
        <v>7948</v>
      </c>
      <c r="N151" s="147" t="s">
        <v>7949</v>
      </c>
      <c r="O151" s="34"/>
      <c r="P151" s="34"/>
      <c r="Q151" s="34"/>
      <c r="R151" s="34"/>
      <c r="S151" s="34"/>
    </row>
    <row r="152" spans="1:19" ht="16.350000000000001" customHeight="1">
      <c r="A152" s="16">
        <v>151</v>
      </c>
      <c r="B152" s="134" t="s">
        <v>5071</v>
      </c>
      <c r="C152" s="134" t="s">
        <v>7482</v>
      </c>
      <c r="D152" s="135">
        <v>9781522576624</v>
      </c>
      <c r="E152" s="135">
        <v>9781522576617</v>
      </c>
      <c r="F152" s="136" t="s">
        <v>8004</v>
      </c>
      <c r="G152" s="133">
        <v>1</v>
      </c>
      <c r="H152" s="134" t="s">
        <v>6518</v>
      </c>
      <c r="I152" s="134" t="s">
        <v>2596</v>
      </c>
      <c r="J152" s="134" t="s">
        <v>569</v>
      </c>
      <c r="K152" s="133">
        <v>2019</v>
      </c>
      <c r="L152" s="137" t="s">
        <v>7499</v>
      </c>
      <c r="M152" s="139"/>
      <c r="N152" s="147" t="s">
        <v>8005</v>
      </c>
      <c r="O152" s="34"/>
      <c r="P152" s="34"/>
      <c r="Q152" s="34"/>
      <c r="R152" s="34"/>
      <c r="S152" s="34"/>
    </row>
    <row r="153" spans="1:19" ht="16.350000000000001" customHeight="1">
      <c r="A153" s="16">
        <v>152</v>
      </c>
      <c r="B153" s="134" t="s">
        <v>5071</v>
      </c>
      <c r="C153" s="134" t="s">
        <v>7482</v>
      </c>
      <c r="D153" s="135">
        <v>9781522589785</v>
      </c>
      <c r="E153" s="135">
        <v>9781522589761</v>
      </c>
      <c r="F153" s="136" t="s">
        <v>8156</v>
      </c>
      <c r="G153" s="133">
        <v>1</v>
      </c>
      <c r="H153" s="134" t="s">
        <v>6518</v>
      </c>
      <c r="I153" s="134" t="s">
        <v>8157</v>
      </c>
      <c r="J153" s="134" t="s">
        <v>569</v>
      </c>
      <c r="K153" s="133">
        <v>2019</v>
      </c>
      <c r="L153" s="137" t="s">
        <v>7499</v>
      </c>
      <c r="M153" s="139"/>
      <c r="N153" s="147" t="s">
        <v>8158</v>
      </c>
      <c r="O153" s="34"/>
      <c r="P153" s="34"/>
      <c r="Q153" s="34"/>
      <c r="R153" s="34"/>
      <c r="S153" s="34"/>
    </row>
    <row r="154" spans="1:19" ht="16.350000000000001" customHeight="1">
      <c r="A154" s="16">
        <v>153</v>
      </c>
      <c r="B154" s="134" t="s">
        <v>5071</v>
      </c>
      <c r="C154" s="134" t="s">
        <v>7482</v>
      </c>
      <c r="D154" s="135">
        <v>9781522576167</v>
      </c>
      <c r="E154" s="135">
        <v>9781522576150</v>
      </c>
      <c r="F154" s="136" t="s">
        <v>8168</v>
      </c>
      <c r="G154" s="133">
        <v>1</v>
      </c>
      <c r="H154" s="134" t="s">
        <v>6518</v>
      </c>
      <c r="I154" s="134" t="s">
        <v>8169</v>
      </c>
      <c r="J154" s="134" t="s">
        <v>569</v>
      </c>
      <c r="K154" s="133">
        <v>2019</v>
      </c>
      <c r="L154" s="137" t="s">
        <v>7499</v>
      </c>
      <c r="M154" s="139"/>
      <c r="N154" s="147" t="s">
        <v>8170</v>
      </c>
      <c r="O154" s="34"/>
      <c r="P154" s="34"/>
      <c r="Q154" s="34"/>
      <c r="R154" s="34"/>
      <c r="S154" s="34"/>
    </row>
    <row r="155" spans="1:19" ht="16.350000000000001" customHeight="1">
      <c r="A155" s="16">
        <v>154</v>
      </c>
      <c r="B155" s="134" t="s">
        <v>5071</v>
      </c>
      <c r="C155" s="134" t="s">
        <v>7483</v>
      </c>
      <c r="D155" s="135">
        <v>9781522576976</v>
      </c>
      <c r="E155" s="135">
        <v>9781522576969</v>
      </c>
      <c r="F155" s="136" t="s">
        <v>7962</v>
      </c>
      <c r="G155" s="133">
        <v>1</v>
      </c>
      <c r="H155" s="134" t="s">
        <v>6518</v>
      </c>
      <c r="I155" s="134" t="s">
        <v>7963</v>
      </c>
      <c r="J155" s="134" t="s">
        <v>568</v>
      </c>
      <c r="K155" s="133">
        <v>2019</v>
      </c>
      <c r="L155" s="137" t="s">
        <v>7499</v>
      </c>
      <c r="M155" s="139"/>
      <c r="N155" s="147" t="s">
        <v>7964</v>
      </c>
      <c r="O155" s="34"/>
      <c r="P155" s="34"/>
      <c r="Q155" s="34"/>
      <c r="R155" s="34"/>
      <c r="S155" s="34"/>
    </row>
    <row r="156" spans="1:19" ht="16.350000000000001" customHeight="1">
      <c r="A156" s="16">
        <v>155</v>
      </c>
      <c r="B156" s="134" t="s">
        <v>5071</v>
      </c>
      <c r="C156" s="134" t="s">
        <v>7483</v>
      </c>
      <c r="D156" s="135">
        <v>9781522571933</v>
      </c>
      <c r="E156" s="135">
        <v>9781522571926</v>
      </c>
      <c r="F156" s="136" t="s">
        <v>7980</v>
      </c>
      <c r="G156" s="133">
        <v>1</v>
      </c>
      <c r="H156" s="134" t="s">
        <v>6518</v>
      </c>
      <c r="I156" s="134" t="s">
        <v>7981</v>
      </c>
      <c r="J156" s="134" t="s">
        <v>568</v>
      </c>
      <c r="K156" s="133">
        <v>2019</v>
      </c>
      <c r="L156" s="137" t="s">
        <v>7499</v>
      </c>
      <c r="M156" s="139"/>
      <c r="N156" s="147" t="s">
        <v>7982</v>
      </c>
      <c r="O156" s="34"/>
      <c r="P156" s="34"/>
      <c r="Q156" s="34"/>
      <c r="R156" s="34"/>
      <c r="S156" s="34"/>
    </row>
    <row r="157" spans="1:19" ht="16.350000000000001" customHeight="1">
      <c r="A157" s="16">
        <v>156</v>
      </c>
      <c r="B157" s="134" t="s">
        <v>5071</v>
      </c>
      <c r="C157" s="134" t="s">
        <v>7483</v>
      </c>
      <c r="D157" s="135">
        <v>9781522555421</v>
      </c>
      <c r="E157" s="135">
        <v>9781522555414</v>
      </c>
      <c r="F157" s="136" t="s">
        <v>8021</v>
      </c>
      <c r="G157" s="133">
        <v>1</v>
      </c>
      <c r="H157" s="134" t="s">
        <v>6518</v>
      </c>
      <c r="I157" s="134" t="s">
        <v>8022</v>
      </c>
      <c r="J157" s="134" t="s">
        <v>568</v>
      </c>
      <c r="K157" s="133">
        <v>2019</v>
      </c>
      <c r="L157" s="137" t="s">
        <v>7499</v>
      </c>
      <c r="M157" s="139"/>
      <c r="N157" s="147" t="s">
        <v>8023</v>
      </c>
      <c r="O157" s="34"/>
      <c r="P157" s="34"/>
      <c r="Q157" s="34"/>
      <c r="R157" s="34"/>
      <c r="S157" s="34"/>
    </row>
    <row r="158" spans="1:19" ht="16.350000000000001" customHeight="1">
      <c r="A158" s="16">
        <v>157</v>
      </c>
      <c r="B158" s="134" t="s">
        <v>5071</v>
      </c>
      <c r="C158" s="134" t="s">
        <v>7483</v>
      </c>
      <c r="D158" s="135">
        <v>9781522569756</v>
      </c>
      <c r="E158" s="135">
        <v>9781522569749</v>
      </c>
      <c r="F158" s="136" t="s">
        <v>8027</v>
      </c>
      <c r="G158" s="133">
        <v>1</v>
      </c>
      <c r="H158" s="134" t="s">
        <v>6518</v>
      </c>
      <c r="I158" s="134" t="s">
        <v>8028</v>
      </c>
      <c r="J158" s="134" t="s">
        <v>568</v>
      </c>
      <c r="K158" s="133">
        <v>2019</v>
      </c>
      <c r="L158" s="137" t="s">
        <v>7499</v>
      </c>
      <c r="M158" s="139"/>
      <c r="N158" s="147" t="s">
        <v>8029</v>
      </c>
      <c r="O158" s="34"/>
      <c r="P158" s="34"/>
      <c r="Q158" s="34"/>
      <c r="R158" s="34"/>
      <c r="S158" s="34"/>
    </row>
    <row r="159" spans="1:19" ht="16.350000000000001" customHeight="1">
      <c r="A159" s="16">
        <v>158</v>
      </c>
      <c r="B159" s="134" t="s">
        <v>5071</v>
      </c>
      <c r="C159" s="134" t="s">
        <v>7483</v>
      </c>
      <c r="D159" s="135">
        <v>9781522557319</v>
      </c>
      <c r="E159" s="135">
        <v>9781522557302</v>
      </c>
      <c r="F159" s="136" t="s">
        <v>8057</v>
      </c>
      <c r="G159" s="133">
        <v>1</v>
      </c>
      <c r="H159" s="134" t="s">
        <v>6518</v>
      </c>
      <c r="I159" s="134" t="s">
        <v>8058</v>
      </c>
      <c r="J159" s="134" t="s">
        <v>568</v>
      </c>
      <c r="K159" s="133">
        <v>2019</v>
      </c>
      <c r="L159" s="137" t="s">
        <v>7499</v>
      </c>
      <c r="M159" s="139"/>
      <c r="N159" s="147" t="s">
        <v>8059</v>
      </c>
      <c r="O159" s="34"/>
      <c r="P159" s="34"/>
      <c r="Q159" s="34"/>
      <c r="R159" s="34"/>
      <c r="S159" s="34"/>
    </row>
    <row r="160" spans="1:19" ht="16.350000000000001" customHeight="1">
      <c r="A160" s="16">
        <v>159</v>
      </c>
      <c r="B160" s="134" t="s">
        <v>5071</v>
      </c>
      <c r="C160" s="134" t="s">
        <v>7483</v>
      </c>
      <c r="D160" s="135">
        <v>9781522570905</v>
      </c>
      <c r="E160" s="135">
        <v>9781522570899</v>
      </c>
      <c r="F160" s="136" t="s">
        <v>8060</v>
      </c>
      <c r="G160" s="133">
        <v>1</v>
      </c>
      <c r="H160" s="134" t="s">
        <v>6518</v>
      </c>
      <c r="I160" s="134" t="s">
        <v>8061</v>
      </c>
      <c r="J160" s="134" t="s">
        <v>568</v>
      </c>
      <c r="K160" s="133">
        <v>2019</v>
      </c>
      <c r="L160" s="137" t="s">
        <v>7499</v>
      </c>
      <c r="M160" s="139"/>
      <c r="N160" s="147" t="s">
        <v>8062</v>
      </c>
      <c r="O160" s="34"/>
      <c r="P160" s="34"/>
      <c r="Q160" s="34"/>
      <c r="R160" s="34"/>
      <c r="S160" s="34"/>
    </row>
    <row r="161" spans="1:19" ht="16.350000000000001" customHeight="1">
      <c r="A161" s="16">
        <v>160</v>
      </c>
      <c r="B161" s="134" t="s">
        <v>5071</v>
      </c>
      <c r="C161" s="134" t="s">
        <v>7483</v>
      </c>
      <c r="D161" s="135">
        <v>9781522557883</v>
      </c>
      <c r="E161" s="135">
        <v>9781522557876</v>
      </c>
      <c r="F161" s="136" t="s">
        <v>8083</v>
      </c>
      <c r="G161" s="133">
        <v>1</v>
      </c>
      <c r="H161" s="134" t="s">
        <v>6518</v>
      </c>
      <c r="I161" s="134" t="s">
        <v>161</v>
      </c>
      <c r="J161" s="134" t="s">
        <v>568</v>
      </c>
      <c r="K161" s="133">
        <v>2019</v>
      </c>
      <c r="L161" s="137" t="s">
        <v>7499</v>
      </c>
      <c r="M161" s="139"/>
      <c r="N161" s="147" t="s">
        <v>8084</v>
      </c>
      <c r="O161" s="34"/>
      <c r="P161" s="34"/>
      <c r="Q161" s="34"/>
      <c r="R161" s="34"/>
      <c r="S161" s="34"/>
    </row>
    <row r="162" spans="1:19" ht="16.350000000000001" customHeight="1">
      <c r="A162" s="16">
        <v>161</v>
      </c>
      <c r="B162" s="134" t="s">
        <v>5071</v>
      </c>
      <c r="C162" s="134" t="s">
        <v>7483</v>
      </c>
      <c r="D162" s="135">
        <v>9781522555872</v>
      </c>
      <c r="E162" s="135">
        <v>9781522555865</v>
      </c>
      <c r="F162" s="136" t="s">
        <v>8103</v>
      </c>
      <c r="G162" s="133">
        <v>1</v>
      </c>
      <c r="H162" s="134" t="s">
        <v>6518</v>
      </c>
      <c r="I162" s="134" t="s">
        <v>8104</v>
      </c>
      <c r="J162" s="134" t="s">
        <v>568</v>
      </c>
      <c r="K162" s="133">
        <v>2019</v>
      </c>
      <c r="L162" s="137" t="s">
        <v>7499</v>
      </c>
      <c r="M162" s="139"/>
      <c r="N162" s="147" t="s">
        <v>8105</v>
      </c>
      <c r="O162" s="34"/>
      <c r="P162" s="34"/>
      <c r="Q162" s="34"/>
      <c r="R162" s="34"/>
      <c r="S162" s="34"/>
    </row>
    <row r="163" spans="1:19" ht="16.350000000000001" customHeight="1">
      <c r="A163" s="16">
        <v>162</v>
      </c>
      <c r="B163" s="134" t="s">
        <v>5071</v>
      </c>
      <c r="C163" s="134" t="s">
        <v>7485</v>
      </c>
      <c r="D163" s="135">
        <v>9781522581642</v>
      </c>
      <c r="E163" s="135">
        <v>9781522581635</v>
      </c>
      <c r="F163" s="136" t="s">
        <v>7926</v>
      </c>
      <c r="G163" s="133">
        <v>1</v>
      </c>
      <c r="H163" s="134" t="s">
        <v>6518</v>
      </c>
      <c r="I163" s="134" t="s">
        <v>7927</v>
      </c>
      <c r="J163" s="134" t="s">
        <v>569</v>
      </c>
      <c r="K163" s="133">
        <v>2019</v>
      </c>
      <c r="L163" s="137" t="s">
        <v>7499</v>
      </c>
      <c r="M163" s="139"/>
      <c r="N163" s="147" t="s">
        <v>7928</v>
      </c>
      <c r="O163" s="34"/>
      <c r="P163" s="34"/>
      <c r="Q163" s="34"/>
      <c r="R163" s="34"/>
      <c r="S163" s="34"/>
    </row>
    <row r="164" spans="1:19" ht="16.350000000000001" customHeight="1">
      <c r="A164" s="16">
        <v>163</v>
      </c>
      <c r="B164" s="134" t="s">
        <v>5071</v>
      </c>
      <c r="C164" s="134" t="s">
        <v>7485</v>
      </c>
      <c r="D164" s="135">
        <v>9781522571964</v>
      </c>
      <c r="E164" s="135">
        <v>9781522571957</v>
      </c>
      <c r="F164" s="136" t="s">
        <v>7932</v>
      </c>
      <c r="G164" s="133">
        <v>1</v>
      </c>
      <c r="H164" s="134" t="s">
        <v>6518</v>
      </c>
      <c r="I164" s="134" t="s">
        <v>7933</v>
      </c>
      <c r="J164" s="134" t="s">
        <v>569</v>
      </c>
      <c r="K164" s="133">
        <v>2019</v>
      </c>
      <c r="L164" s="137" t="s">
        <v>7499</v>
      </c>
      <c r="M164" s="139"/>
      <c r="N164" s="147" t="s">
        <v>7934</v>
      </c>
      <c r="O164" s="34"/>
      <c r="P164" s="34"/>
      <c r="Q164" s="34"/>
      <c r="R164" s="34"/>
      <c r="S164" s="34"/>
    </row>
    <row r="165" spans="1:19" ht="16.350000000000001" customHeight="1">
      <c r="A165" s="16">
        <v>164</v>
      </c>
      <c r="B165" s="134" t="s">
        <v>5071</v>
      </c>
      <c r="C165" s="134" t="s">
        <v>7485</v>
      </c>
      <c r="D165" s="135">
        <v>9781522552505</v>
      </c>
      <c r="E165" s="135">
        <v>9781522552499</v>
      </c>
      <c r="F165" s="136" t="s">
        <v>7998</v>
      </c>
      <c r="G165" s="133">
        <v>1</v>
      </c>
      <c r="H165" s="134" t="s">
        <v>6518</v>
      </c>
      <c r="I165" s="134" t="s">
        <v>7999</v>
      </c>
      <c r="J165" s="134" t="s">
        <v>569</v>
      </c>
      <c r="K165" s="133">
        <v>2019</v>
      </c>
      <c r="L165" s="137" t="s">
        <v>7499</v>
      </c>
      <c r="M165" s="139"/>
      <c r="N165" s="147" t="s">
        <v>8000</v>
      </c>
      <c r="O165" s="34"/>
      <c r="P165" s="34"/>
      <c r="Q165" s="34"/>
      <c r="R165" s="34"/>
      <c r="S165" s="34"/>
    </row>
    <row r="166" spans="1:19" ht="16.350000000000001" customHeight="1">
      <c r="A166" s="16">
        <v>165</v>
      </c>
      <c r="B166" s="134" t="s">
        <v>5071</v>
      </c>
      <c r="C166" s="134" t="s">
        <v>7485</v>
      </c>
      <c r="D166" s="135">
        <v>9781522571872</v>
      </c>
      <c r="E166" s="135">
        <v>9781522571865</v>
      </c>
      <c r="F166" s="136" t="s">
        <v>8009</v>
      </c>
      <c r="G166" s="133">
        <v>1</v>
      </c>
      <c r="H166" s="134" t="s">
        <v>6518</v>
      </c>
      <c r="I166" s="134" t="s">
        <v>7230</v>
      </c>
      <c r="J166" s="134" t="s">
        <v>569</v>
      </c>
      <c r="K166" s="133">
        <v>2019</v>
      </c>
      <c r="L166" s="137" t="s">
        <v>7499</v>
      </c>
      <c r="M166" s="139"/>
      <c r="N166" s="147" t="s">
        <v>8010</v>
      </c>
      <c r="O166" s="34"/>
      <c r="P166" s="34"/>
      <c r="Q166" s="34"/>
      <c r="R166" s="34"/>
      <c r="S166" s="34"/>
    </row>
    <row r="167" spans="1:19" ht="16.350000000000001" customHeight="1">
      <c r="A167" s="16">
        <v>166</v>
      </c>
      <c r="B167" s="134" t="s">
        <v>5071</v>
      </c>
      <c r="C167" s="134" t="s">
        <v>7485</v>
      </c>
      <c r="D167" s="135">
        <v>9781522556718</v>
      </c>
      <c r="E167" s="135">
        <v>9781522556701</v>
      </c>
      <c r="F167" s="136" t="s">
        <v>8033</v>
      </c>
      <c r="G167" s="133">
        <v>1</v>
      </c>
      <c r="H167" s="134" t="s">
        <v>6518</v>
      </c>
      <c r="I167" s="134" t="s">
        <v>8034</v>
      </c>
      <c r="J167" s="134" t="s">
        <v>569</v>
      </c>
      <c r="K167" s="133">
        <v>2019</v>
      </c>
      <c r="L167" s="137" t="s">
        <v>7499</v>
      </c>
      <c r="M167" s="139"/>
      <c r="N167" s="147" t="s">
        <v>8035</v>
      </c>
      <c r="O167" s="34"/>
      <c r="P167" s="34"/>
      <c r="Q167" s="34"/>
      <c r="R167" s="34"/>
      <c r="S167" s="34"/>
    </row>
    <row r="168" spans="1:19" ht="16.350000000000001" customHeight="1">
      <c r="A168" s="16">
        <v>167</v>
      </c>
      <c r="B168" s="134" t="s">
        <v>5071</v>
      </c>
      <c r="C168" s="134" t="s">
        <v>7485</v>
      </c>
      <c r="D168" s="135">
        <v>9781522570370</v>
      </c>
      <c r="E168" s="135">
        <v>9781522570363</v>
      </c>
      <c r="F168" s="136" t="s">
        <v>8052</v>
      </c>
      <c r="G168" s="133">
        <v>1</v>
      </c>
      <c r="H168" s="134" t="s">
        <v>6518</v>
      </c>
      <c r="I168" s="134" t="s">
        <v>3446</v>
      </c>
      <c r="J168" s="134" t="s">
        <v>569</v>
      </c>
      <c r="K168" s="133">
        <v>2019</v>
      </c>
      <c r="L168" s="137" t="s">
        <v>7499</v>
      </c>
      <c r="M168" s="138" t="s">
        <v>8053</v>
      </c>
      <c r="N168" s="147" t="s">
        <v>8054</v>
      </c>
      <c r="O168" s="34"/>
      <c r="P168" s="34"/>
      <c r="Q168" s="34"/>
      <c r="R168" s="34"/>
      <c r="S168" s="34"/>
    </row>
    <row r="169" spans="1:19" ht="16.350000000000001" customHeight="1">
      <c r="A169" s="16">
        <v>168</v>
      </c>
      <c r="B169" s="134" t="s">
        <v>5071</v>
      </c>
      <c r="C169" s="134" t="s">
        <v>7485</v>
      </c>
      <c r="D169" s="135">
        <v>9781522572152</v>
      </c>
      <c r="E169" s="135">
        <v>9781522572145</v>
      </c>
      <c r="F169" s="136" t="s">
        <v>8055</v>
      </c>
      <c r="G169" s="133">
        <v>1</v>
      </c>
      <c r="H169" s="134" t="s">
        <v>6518</v>
      </c>
      <c r="I169" s="134" t="s">
        <v>7296</v>
      </c>
      <c r="J169" s="134" t="s">
        <v>569</v>
      </c>
      <c r="K169" s="133">
        <v>2019</v>
      </c>
      <c r="L169" s="137" t="s">
        <v>7499</v>
      </c>
      <c r="M169" s="139"/>
      <c r="N169" s="147" t="s">
        <v>8056</v>
      </c>
      <c r="O169" s="34"/>
      <c r="P169" s="34"/>
      <c r="Q169" s="34"/>
      <c r="R169" s="34"/>
      <c r="S169" s="34"/>
    </row>
    <row r="170" spans="1:19" ht="16.350000000000001" customHeight="1">
      <c r="A170" s="16">
        <v>169</v>
      </c>
      <c r="B170" s="134" t="s">
        <v>5071</v>
      </c>
      <c r="C170" s="134" t="s">
        <v>7485</v>
      </c>
      <c r="D170" s="135">
        <v>9781522571292</v>
      </c>
      <c r="E170" s="135">
        <v>9781522571285</v>
      </c>
      <c r="F170" s="136" t="s">
        <v>8063</v>
      </c>
      <c r="G170" s="133">
        <v>1</v>
      </c>
      <c r="H170" s="134" t="s">
        <v>6518</v>
      </c>
      <c r="I170" s="134" t="s">
        <v>172</v>
      </c>
      <c r="J170" s="134" t="s">
        <v>569</v>
      </c>
      <c r="K170" s="133">
        <v>2019</v>
      </c>
      <c r="L170" s="137" t="s">
        <v>7499</v>
      </c>
      <c r="M170" s="139"/>
      <c r="N170" s="147" t="s">
        <v>8064</v>
      </c>
      <c r="O170" s="34"/>
      <c r="P170" s="34"/>
      <c r="Q170" s="34"/>
      <c r="R170" s="34"/>
      <c r="S170" s="34"/>
    </row>
    <row r="171" spans="1:19" ht="16.350000000000001" customHeight="1">
      <c r="A171" s="16">
        <v>170</v>
      </c>
      <c r="B171" s="134" t="s">
        <v>5071</v>
      </c>
      <c r="C171" s="134" t="s">
        <v>7485</v>
      </c>
      <c r="D171" s="135">
        <v>9781522569220</v>
      </c>
      <c r="E171" s="135">
        <v>9781522569213</v>
      </c>
      <c r="F171" s="136" t="s">
        <v>8090</v>
      </c>
      <c r="G171" s="133">
        <v>1</v>
      </c>
      <c r="H171" s="134" t="s">
        <v>6518</v>
      </c>
      <c r="I171" s="134" t="s">
        <v>3446</v>
      </c>
      <c r="J171" s="134" t="s">
        <v>569</v>
      </c>
      <c r="K171" s="133">
        <v>2019</v>
      </c>
      <c r="L171" s="137" t="s">
        <v>7499</v>
      </c>
      <c r="M171" s="139"/>
      <c r="N171" s="147" t="s">
        <v>8091</v>
      </c>
      <c r="O171" s="34"/>
      <c r="P171" s="34"/>
      <c r="Q171" s="34"/>
      <c r="R171" s="34"/>
      <c r="S171" s="34"/>
    </row>
    <row r="172" spans="1:19" ht="16.350000000000001" customHeight="1">
      <c r="A172" s="16">
        <v>171</v>
      </c>
      <c r="B172" s="134" t="s">
        <v>5071</v>
      </c>
      <c r="C172" s="134" t="s">
        <v>7486</v>
      </c>
      <c r="D172" s="135">
        <v>9781522526544</v>
      </c>
      <c r="E172" s="135">
        <v>9781522526537</v>
      </c>
      <c r="F172" s="136" t="s">
        <v>7899</v>
      </c>
      <c r="G172" s="133">
        <v>1</v>
      </c>
      <c r="H172" s="134" t="s">
        <v>6518</v>
      </c>
      <c r="I172" s="134" t="s">
        <v>7900</v>
      </c>
      <c r="J172" s="134" t="s">
        <v>569</v>
      </c>
      <c r="K172" s="133">
        <v>2018</v>
      </c>
      <c r="L172" s="137" t="s">
        <v>7499</v>
      </c>
      <c r="M172" s="139"/>
      <c r="N172" s="147" t="s">
        <v>7901</v>
      </c>
      <c r="O172" s="34"/>
      <c r="P172" s="34"/>
      <c r="Q172" s="34"/>
      <c r="R172" s="34"/>
      <c r="S172" s="34"/>
    </row>
    <row r="173" spans="1:19" ht="16.350000000000001" customHeight="1">
      <c r="A173" s="16">
        <v>172</v>
      </c>
      <c r="B173" s="134" t="s">
        <v>5071</v>
      </c>
      <c r="C173" s="134" t="s">
        <v>7486</v>
      </c>
      <c r="D173" s="135">
        <v>9781522574590</v>
      </c>
      <c r="E173" s="135">
        <v>9781522574583</v>
      </c>
      <c r="F173" s="136" t="s">
        <v>7911</v>
      </c>
      <c r="G173" s="133">
        <v>1</v>
      </c>
      <c r="H173" s="134" t="s">
        <v>6518</v>
      </c>
      <c r="I173" s="134" t="s">
        <v>7912</v>
      </c>
      <c r="J173" s="134" t="s">
        <v>569</v>
      </c>
      <c r="K173" s="133">
        <v>2019</v>
      </c>
      <c r="L173" s="137" t="s">
        <v>7499</v>
      </c>
      <c r="M173" s="139"/>
      <c r="N173" s="147" t="s">
        <v>7913</v>
      </c>
      <c r="O173" s="34"/>
      <c r="P173" s="34"/>
      <c r="Q173" s="34"/>
      <c r="R173" s="34"/>
      <c r="S173" s="34"/>
    </row>
    <row r="174" spans="1:19" ht="16.350000000000001" customHeight="1">
      <c r="A174" s="16">
        <v>173</v>
      </c>
      <c r="B174" s="134" t="s">
        <v>5071</v>
      </c>
      <c r="C174" s="134" t="s">
        <v>7486</v>
      </c>
      <c r="D174" s="135">
        <v>9781522575719</v>
      </c>
      <c r="E174" s="135">
        <v>9781522575702</v>
      </c>
      <c r="F174" s="136" t="s">
        <v>7950</v>
      </c>
      <c r="G174" s="133">
        <v>1</v>
      </c>
      <c r="H174" s="134" t="s">
        <v>6518</v>
      </c>
      <c r="I174" s="134" t="s">
        <v>7951</v>
      </c>
      <c r="J174" s="134" t="s">
        <v>569</v>
      </c>
      <c r="K174" s="133">
        <v>2019</v>
      </c>
      <c r="L174" s="137" t="s">
        <v>7499</v>
      </c>
      <c r="M174" s="139"/>
      <c r="N174" s="147" t="s">
        <v>7952</v>
      </c>
      <c r="O174" s="34"/>
      <c r="P174" s="34"/>
      <c r="Q174" s="34"/>
      <c r="R174" s="34"/>
      <c r="S174" s="34"/>
    </row>
    <row r="175" spans="1:19" ht="16.350000000000001" customHeight="1">
      <c r="A175" s="16">
        <v>174</v>
      </c>
      <c r="B175" s="134" t="s">
        <v>5071</v>
      </c>
      <c r="C175" s="134" t="s">
        <v>7486</v>
      </c>
      <c r="D175" s="135">
        <v>9781522573159</v>
      </c>
      <c r="E175" s="135">
        <v>9781522573142</v>
      </c>
      <c r="F175" s="136" t="s">
        <v>8001</v>
      </c>
      <c r="G175" s="133">
        <v>1</v>
      </c>
      <c r="H175" s="134" t="s">
        <v>6518</v>
      </c>
      <c r="I175" s="134" t="s">
        <v>3446</v>
      </c>
      <c r="J175" s="134" t="s">
        <v>569</v>
      </c>
      <c r="K175" s="133">
        <v>2019</v>
      </c>
      <c r="L175" s="137" t="s">
        <v>7499</v>
      </c>
      <c r="M175" s="138" t="s">
        <v>8002</v>
      </c>
      <c r="N175" s="147" t="s">
        <v>8003</v>
      </c>
      <c r="O175" s="34"/>
      <c r="P175" s="34"/>
      <c r="Q175" s="34"/>
      <c r="R175" s="34"/>
      <c r="S175" s="34"/>
    </row>
    <row r="176" spans="1:19" ht="16.350000000000001" customHeight="1">
      <c r="A176" s="16">
        <v>175</v>
      </c>
      <c r="B176" s="134" t="s">
        <v>5071</v>
      </c>
      <c r="C176" s="134" t="s">
        <v>7486</v>
      </c>
      <c r="D176" s="135">
        <v>9781522571476</v>
      </c>
      <c r="E176" s="135">
        <v>9781522571469</v>
      </c>
      <c r="F176" s="136" t="s">
        <v>8016</v>
      </c>
      <c r="G176" s="133">
        <v>1</v>
      </c>
      <c r="H176" s="134" t="s">
        <v>6518</v>
      </c>
      <c r="I176" s="134" t="s">
        <v>5497</v>
      </c>
      <c r="J176" s="134" t="s">
        <v>569</v>
      </c>
      <c r="K176" s="133">
        <v>2019</v>
      </c>
      <c r="L176" s="137" t="s">
        <v>7499</v>
      </c>
      <c r="M176" s="139"/>
      <c r="N176" s="147" t="s">
        <v>8017</v>
      </c>
      <c r="O176" s="34"/>
      <c r="P176" s="34"/>
      <c r="Q176" s="34"/>
      <c r="R176" s="34"/>
      <c r="S176" s="34"/>
    </row>
    <row r="177" spans="1:19" ht="16.350000000000001" customHeight="1">
      <c r="A177" s="16">
        <v>176</v>
      </c>
      <c r="B177" s="134" t="s">
        <v>5071</v>
      </c>
      <c r="C177" s="134" t="s">
        <v>7486</v>
      </c>
      <c r="D177" s="135">
        <v>9781522541691</v>
      </c>
      <c r="E177" s="135">
        <v>9781522541684</v>
      </c>
      <c r="F177" s="136" t="s">
        <v>8095</v>
      </c>
      <c r="G177" s="133">
        <v>1</v>
      </c>
      <c r="H177" s="134" t="s">
        <v>6518</v>
      </c>
      <c r="I177" s="134" t="s">
        <v>6793</v>
      </c>
      <c r="J177" s="134" t="s">
        <v>569</v>
      </c>
      <c r="K177" s="133">
        <v>2019</v>
      </c>
      <c r="L177" s="137" t="s">
        <v>7499</v>
      </c>
      <c r="M177" s="139"/>
      <c r="N177" s="147" t="s">
        <v>8096</v>
      </c>
      <c r="O177" s="34"/>
      <c r="P177" s="34"/>
      <c r="Q177" s="34"/>
      <c r="R177" s="34"/>
      <c r="S177" s="34"/>
    </row>
    <row r="178" spans="1:19" ht="16.350000000000001" customHeight="1">
      <c r="A178" s="16">
        <v>177</v>
      </c>
      <c r="B178" s="134" t="s">
        <v>5071</v>
      </c>
      <c r="C178" s="134" t="s">
        <v>7486</v>
      </c>
      <c r="D178" s="135">
        <v>9781522580980</v>
      </c>
      <c r="E178" s="135">
        <v>9781522580973</v>
      </c>
      <c r="F178" s="136" t="s">
        <v>8161</v>
      </c>
      <c r="G178" s="133">
        <v>1</v>
      </c>
      <c r="H178" s="134" t="s">
        <v>6518</v>
      </c>
      <c r="I178" s="134" t="s">
        <v>8162</v>
      </c>
      <c r="J178" s="134" t="s">
        <v>569</v>
      </c>
      <c r="K178" s="133">
        <v>2019</v>
      </c>
      <c r="L178" s="137" t="s">
        <v>7499</v>
      </c>
      <c r="M178" s="139"/>
      <c r="N178" s="147" t="s">
        <v>8163</v>
      </c>
      <c r="O178" s="34"/>
      <c r="P178" s="34"/>
      <c r="Q178" s="34"/>
      <c r="R178" s="34"/>
      <c r="S178" s="34"/>
    </row>
    <row r="179" spans="1:19" ht="16.350000000000001" customHeight="1">
      <c r="A179" s="16">
        <v>178</v>
      </c>
      <c r="B179" s="134" t="s">
        <v>5071</v>
      </c>
      <c r="C179" s="134" t="s">
        <v>8146</v>
      </c>
      <c r="D179" s="135">
        <v>9781522581352</v>
      </c>
      <c r="E179" s="135">
        <v>9781522581345</v>
      </c>
      <c r="F179" s="136" t="s">
        <v>8147</v>
      </c>
      <c r="G179" s="133">
        <v>1</v>
      </c>
      <c r="H179" s="134" t="s">
        <v>6518</v>
      </c>
      <c r="I179" s="134" t="s">
        <v>8148</v>
      </c>
      <c r="J179" s="134" t="s">
        <v>1233</v>
      </c>
      <c r="K179" s="133">
        <v>2019</v>
      </c>
      <c r="L179" s="137" t="s">
        <v>7499</v>
      </c>
      <c r="M179" s="139"/>
      <c r="N179" s="147" t="s">
        <v>8149</v>
      </c>
      <c r="O179" s="34"/>
      <c r="P179" s="34"/>
      <c r="Q179" s="34"/>
      <c r="R179" s="34"/>
      <c r="S179" s="34"/>
    </row>
    <row r="180" spans="1:19" ht="16.350000000000001" customHeight="1">
      <c r="A180" s="16">
        <v>179</v>
      </c>
      <c r="B180" s="134" t="s">
        <v>5071</v>
      </c>
      <c r="C180" s="134" t="s">
        <v>8045</v>
      </c>
      <c r="D180" s="135">
        <v>9781522559825</v>
      </c>
      <c r="E180" s="135">
        <v>9781522559818</v>
      </c>
      <c r="F180" s="136" t="s">
        <v>8046</v>
      </c>
      <c r="G180" s="133">
        <v>1</v>
      </c>
      <c r="H180" s="134" t="s">
        <v>6518</v>
      </c>
      <c r="I180" s="134" t="s">
        <v>8047</v>
      </c>
      <c r="J180" s="134" t="s">
        <v>561</v>
      </c>
      <c r="K180" s="133">
        <v>2019</v>
      </c>
      <c r="L180" s="137" t="s">
        <v>7499</v>
      </c>
      <c r="M180" s="139"/>
      <c r="N180" s="147" t="s">
        <v>8048</v>
      </c>
      <c r="O180" s="34"/>
      <c r="P180" s="34"/>
      <c r="Q180" s="34"/>
      <c r="R180" s="34"/>
      <c r="S180" s="34"/>
    </row>
    <row r="181" spans="1:19" ht="16.350000000000001" customHeight="1">
      <c r="A181" s="16">
        <v>180</v>
      </c>
      <c r="B181" s="134" t="s">
        <v>5071</v>
      </c>
      <c r="C181" s="134" t="s">
        <v>8045</v>
      </c>
      <c r="D181" s="135">
        <v>9781522589594</v>
      </c>
      <c r="E181" s="135">
        <v>9781522589587</v>
      </c>
      <c r="F181" s="136" t="s">
        <v>8150</v>
      </c>
      <c r="G181" s="133">
        <v>1</v>
      </c>
      <c r="H181" s="134" t="s">
        <v>6518</v>
      </c>
      <c r="I181" s="134" t="s">
        <v>8151</v>
      </c>
      <c r="J181" s="134" t="s">
        <v>1233</v>
      </c>
      <c r="K181" s="133">
        <v>2020</v>
      </c>
      <c r="L181" s="137" t="s">
        <v>7499</v>
      </c>
      <c r="M181" s="139"/>
      <c r="N181" s="147" t="s">
        <v>8152</v>
      </c>
      <c r="O181" s="34"/>
      <c r="P181" s="34"/>
      <c r="Q181" s="34"/>
      <c r="R181" s="34"/>
      <c r="S181" s="34"/>
    </row>
    <row r="182" spans="1:19" ht="16.350000000000001" customHeight="1">
      <c r="A182" s="16">
        <v>181</v>
      </c>
      <c r="B182" s="134" t="s">
        <v>5071</v>
      </c>
      <c r="C182" s="134" t="s">
        <v>7490</v>
      </c>
      <c r="D182" s="135">
        <v>9781522561156</v>
      </c>
      <c r="E182" s="135">
        <v>9781522561149</v>
      </c>
      <c r="F182" s="136" t="s">
        <v>7856</v>
      </c>
      <c r="G182" s="133">
        <v>1</v>
      </c>
      <c r="H182" s="134" t="s">
        <v>6518</v>
      </c>
      <c r="I182" s="134" t="s">
        <v>7857</v>
      </c>
      <c r="J182" s="134" t="s">
        <v>568</v>
      </c>
      <c r="K182" s="133">
        <v>2018</v>
      </c>
      <c r="L182" s="137" t="s">
        <v>7499</v>
      </c>
      <c r="M182" s="139"/>
      <c r="N182" s="147" t="s">
        <v>7858</v>
      </c>
      <c r="O182" s="34"/>
      <c r="P182" s="34"/>
      <c r="Q182" s="34"/>
      <c r="R182" s="34"/>
      <c r="S182" s="34"/>
    </row>
    <row r="183" spans="1:19" ht="16.350000000000001" customHeight="1">
      <c r="A183" s="16">
        <v>182</v>
      </c>
      <c r="B183" s="134" t="s">
        <v>5071</v>
      </c>
      <c r="C183" s="134" t="s">
        <v>7490</v>
      </c>
      <c r="D183" s="135">
        <v>9781522577133</v>
      </c>
      <c r="E183" s="135">
        <v>9781522577126</v>
      </c>
      <c r="F183" s="136" t="s">
        <v>7914</v>
      </c>
      <c r="G183" s="133">
        <v>1</v>
      </c>
      <c r="H183" s="134" t="s">
        <v>6518</v>
      </c>
      <c r="I183" s="134" t="s">
        <v>2567</v>
      </c>
      <c r="J183" s="134" t="s">
        <v>568</v>
      </c>
      <c r="K183" s="133">
        <v>2019</v>
      </c>
      <c r="L183" s="137" t="s">
        <v>7499</v>
      </c>
      <c r="M183" s="139"/>
      <c r="N183" s="147" t="s">
        <v>7915</v>
      </c>
      <c r="O183" s="34"/>
      <c r="P183" s="34"/>
      <c r="Q183" s="34"/>
      <c r="R183" s="34"/>
      <c r="S183" s="34"/>
    </row>
    <row r="184" spans="1:19" ht="16.350000000000001" customHeight="1">
      <c r="A184" s="16">
        <v>183</v>
      </c>
      <c r="B184" s="134" t="s">
        <v>5071</v>
      </c>
      <c r="C184" s="134" t="s">
        <v>7490</v>
      </c>
      <c r="D184" s="135">
        <v>9781522578093</v>
      </c>
      <c r="E184" s="135">
        <v>9781522578086</v>
      </c>
      <c r="F184" s="136" t="s">
        <v>7935</v>
      </c>
      <c r="G184" s="133">
        <v>1</v>
      </c>
      <c r="H184" s="134" t="s">
        <v>6518</v>
      </c>
      <c r="I184" s="134" t="s">
        <v>7936</v>
      </c>
      <c r="J184" s="134" t="s">
        <v>568</v>
      </c>
      <c r="K184" s="133">
        <v>2019</v>
      </c>
      <c r="L184" s="137" t="s">
        <v>7499</v>
      </c>
      <c r="M184" s="139"/>
      <c r="N184" s="147" t="s">
        <v>7937</v>
      </c>
      <c r="O184" s="34"/>
      <c r="P184" s="34"/>
      <c r="Q184" s="34"/>
      <c r="R184" s="34"/>
      <c r="S184" s="34"/>
    </row>
    <row r="185" spans="1:19" ht="16.350000000000001" customHeight="1">
      <c r="A185" s="16">
        <v>184</v>
      </c>
      <c r="B185" s="134" t="s">
        <v>5071</v>
      </c>
      <c r="C185" s="134" t="s">
        <v>7490</v>
      </c>
      <c r="D185" s="135">
        <v>9781522578062</v>
      </c>
      <c r="E185" s="135">
        <v>9781522578055</v>
      </c>
      <c r="F185" s="136" t="s">
        <v>7941</v>
      </c>
      <c r="G185" s="133">
        <v>1</v>
      </c>
      <c r="H185" s="134" t="s">
        <v>6518</v>
      </c>
      <c r="I185" s="134" t="s">
        <v>7942</v>
      </c>
      <c r="J185" s="134" t="s">
        <v>568</v>
      </c>
      <c r="K185" s="133">
        <v>2019</v>
      </c>
      <c r="L185" s="137" t="s">
        <v>7499</v>
      </c>
      <c r="M185" s="139"/>
      <c r="N185" s="147" t="s">
        <v>7943</v>
      </c>
      <c r="O185" s="34"/>
      <c r="P185" s="34"/>
      <c r="Q185" s="34"/>
      <c r="R185" s="34"/>
      <c r="S185" s="34"/>
    </row>
    <row r="186" spans="1:19" ht="16.350000000000001" customHeight="1">
      <c r="A186" s="16">
        <v>185</v>
      </c>
      <c r="B186" s="134" t="s">
        <v>5071</v>
      </c>
      <c r="C186" s="134" t="s">
        <v>7490</v>
      </c>
      <c r="D186" s="135">
        <v>9781522573302</v>
      </c>
      <c r="E186" s="135">
        <v>9781522573296</v>
      </c>
      <c r="F186" s="136" t="s">
        <v>7944</v>
      </c>
      <c r="G186" s="133">
        <v>1</v>
      </c>
      <c r="H186" s="134" t="s">
        <v>6518</v>
      </c>
      <c r="I186" s="134" t="s">
        <v>7945</v>
      </c>
      <c r="J186" s="134" t="s">
        <v>568</v>
      </c>
      <c r="K186" s="133">
        <v>2019</v>
      </c>
      <c r="L186" s="137" t="s">
        <v>7499</v>
      </c>
      <c r="M186" s="139"/>
      <c r="N186" s="147" t="s">
        <v>7946</v>
      </c>
      <c r="O186" s="34"/>
      <c r="P186" s="34"/>
      <c r="Q186" s="34"/>
      <c r="R186" s="34"/>
      <c r="S186" s="34"/>
    </row>
    <row r="187" spans="1:19" ht="16.350000000000001" customHeight="1">
      <c r="A187" s="16">
        <v>186</v>
      </c>
      <c r="B187" s="134" t="s">
        <v>5071</v>
      </c>
      <c r="C187" s="134" t="s">
        <v>7490</v>
      </c>
      <c r="D187" s="135">
        <v>9781522562023</v>
      </c>
      <c r="E187" s="135">
        <v>9781522562016</v>
      </c>
      <c r="F187" s="136" t="s">
        <v>8114</v>
      </c>
      <c r="G187" s="133">
        <v>1</v>
      </c>
      <c r="H187" s="134" t="s">
        <v>6518</v>
      </c>
      <c r="I187" s="134" t="s">
        <v>3446</v>
      </c>
      <c r="J187" s="134" t="s">
        <v>568</v>
      </c>
      <c r="K187" s="133">
        <v>2019</v>
      </c>
      <c r="L187" s="137" t="s">
        <v>7499</v>
      </c>
      <c r="M187" s="139"/>
      <c r="N187" s="147" t="s">
        <v>8115</v>
      </c>
      <c r="O187" s="34"/>
      <c r="P187" s="34"/>
      <c r="Q187" s="34"/>
      <c r="R187" s="34"/>
      <c r="S187" s="34"/>
    </row>
    <row r="188" spans="1:19" ht="16.350000000000001" customHeight="1">
      <c r="A188" s="16">
        <v>187</v>
      </c>
      <c r="B188" s="134" t="s">
        <v>5071</v>
      </c>
      <c r="C188" s="134" t="s">
        <v>7491</v>
      </c>
      <c r="D188" s="135">
        <v>9781466661356</v>
      </c>
      <c r="E188" s="135">
        <v>9781466661349</v>
      </c>
      <c r="F188" s="136" t="s">
        <v>7829</v>
      </c>
      <c r="G188" s="133">
        <v>1</v>
      </c>
      <c r="H188" s="134" t="s">
        <v>6518</v>
      </c>
      <c r="I188" s="134" t="s">
        <v>7113</v>
      </c>
      <c r="J188" s="134" t="s">
        <v>568</v>
      </c>
      <c r="K188" s="133">
        <v>2014</v>
      </c>
      <c r="L188" s="137" t="s">
        <v>7499</v>
      </c>
      <c r="M188" s="139"/>
      <c r="N188" s="147" t="s">
        <v>7830</v>
      </c>
      <c r="O188" s="34"/>
      <c r="P188" s="34"/>
      <c r="Q188" s="34"/>
      <c r="R188" s="34"/>
      <c r="S188" s="34"/>
    </row>
    <row r="189" spans="1:19" ht="16.350000000000001" customHeight="1">
      <c r="A189" s="16">
        <v>188</v>
      </c>
      <c r="B189" s="134" t="s">
        <v>5071</v>
      </c>
      <c r="C189" s="134" t="s">
        <v>7491</v>
      </c>
      <c r="D189" s="135">
        <v>9781522531692</v>
      </c>
      <c r="E189" s="135">
        <v>9781522531685</v>
      </c>
      <c r="F189" s="136" t="s">
        <v>7897</v>
      </c>
      <c r="G189" s="133">
        <v>1</v>
      </c>
      <c r="H189" s="134" t="s">
        <v>6518</v>
      </c>
      <c r="I189" s="134" t="s">
        <v>3446</v>
      </c>
      <c r="J189" s="134" t="s">
        <v>561</v>
      </c>
      <c r="K189" s="133">
        <v>2018</v>
      </c>
      <c r="L189" s="137" t="s">
        <v>7499</v>
      </c>
      <c r="M189" s="139"/>
      <c r="N189" s="147" t="s">
        <v>7898</v>
      </c>
      <c r="O189" s="34"/>
      <c r="P189" s="34"/>
      <c r="Q189" s="34"/>
      <c r="R189" s="34"/>
      <c r="S189" s="34"/>
    </row>
    <row r="190" spans="1:19" ht="16.350000000000001" customHeight="1">
      <c r="A190" s="16">
        <v>189</v>
      </c>
      <c r="B190" s="134" t="s">
        <v>5071</v>
      </c>
      <c r="C190" s="134" t="s">
        <v>7491</v>
      </c>
      <c r="D190" s="135">
        <v>9781522583578</v>
      </c>
      <c r="E190" s="135">
        <v>9781522583561</v>
      </c>
      <c r="F190" s="136" t="s">
        <v>7902</v>
      </c>
      <c r="G190" s="133">
        <v>1</v>
      </c>
      <c r="H190" s="134" t="s">
        <v>6518</v>
      </c>
      <c r="I190" s="134" t="s">
        <v>3446</v>
      </c>
      <c r="J190" s="134" t="s">
        <v>568</v>
      </c>
      <c r="K190" s="133">
        <v>2019</v>
      </c>
      <c r="L190" s="137" t="s">
        <v>7499</v>
      </c>
      <c r="M190" s="138" t="s">
        <v>7903</v>
      </c>
      <c r="N190" s="147" t="s">
        <v>7904</v>
      </c>
      <c r="O190" s="34"/>
      <c r="P190" s="34"/>
      <c r="Q190" s="34"/>
      <c r="R190" s="34"/>
      <c r="S190" s="34"/>
    </row>
    <row r="191" spans="1:19" ht="16.350000000000001" customHeight="1">
      <c r="A191" s="16">
        <v>190</v>
      </c>
      <c r="B191" s="134" t="s">
        <v>5071</v>
      </c>
      <c r="C191" s="134" t="s">
        <v>7491</v>
      </c>
      <c r="D191" s="135">
        <v>9781522585176</v>
      </c>
      <c r="E191" s="135">
        <v>9781522585169</v>
      </c>
      <c r="F191" s="136" t="s">
        <v>7916</v>
      </c>
      <c r="G191" s="133">
        <v>1</v>
      </c>
      <c r="H191" s="134" t="s">
        <v>6518</v>
      </c>
      <c r="I191" s="134" t="s">
        <v>7917</v>
      </c>
      <c r="J191" s="134" t="s">
        <v>568</v>
      </c>
      <c r="K191" s="133">
        <v>2019</v>
      </c>
      <c r="L191" s="137" t="s">
        <v>7499</v>
      </c>
      <c r="M191" s="139"/>
      <c r="N191" s="147" t="s">
        <v>7918</v>
      </c>
      <c r="O191" s="34"/>
      <c r="P191" s="34"/>
      <c r="Q191" s="34"/>
      <c r="R191" s="34"/>
      <c r="S191" s="34"/>
    </row>
    <row r="192" spans="1:19" ht="16.350000000000001" customHeight="1">
      <c r="A192" s="16">
        <v>191</v>
      </c>
      <c r="B192" s="134" t="s">
        <v>5071</v>
      </c>
      <c r="C192" s="134" t="s">
        <v>7491</v>
      </c>
      <c r="D192" s="135">
        <v>9781522572541</v>
      </c>
      <c r="E192" s="135">
        <v>9781522572534</v>
      </c>
      <c r="F192" s="136" t="s">
        <v>7938</v>
      </c>
      <c r="G192" s="133">
        <v>1</v>
      </c>
      <c r="H192" s="134" t="s">
        <v>6518</v>
      </c>
      <c r="I192" s="134" t="s">
        <v>7939</v>
      </c>
      <c r="J192" s="134" t="s">
        <v>568</v>
      </c>
      <c r="K192" s="133">
        <v>2019</v>
      </c>
      <c r="L192" s="137" t="s">
        <v>7499</v>
      </c>
      <c r="M192" s="139"/>
      <c r="N192" s="147" t="s">
        <v>7940</v>
      </c>
      <c r="O192" s="34"/>
      <c r="P192" s="34"/>
      <c r="Q192" s="34"/>
      <c r="R192" s="34"/>
      <c r="S192" s="34"/>
    </row>
    <row r="193" spans="1:19" ht="16.350000000000001" customHeight="1">
      <c r="A193" s="16">
        <v>192</v>
      </c>
      <c r="B193" s="134" t="s">
        <v>5071</v>
      </c>
      <c r="C193" s="134" t="s">
        <v>7491</v>
      </c>
      <c r="D193" s="135">
        <v>9781522573913</v>
      </c>
      <c r="E193" s="135">
        <v>9781522573906</v>
      </c>
      <c r="F193" s="136" t="s">
        <v>7959</v>
      </c>
      <c r="G193" s="133">
        <v>1</v>
      </c>
      <c r="H193" s="134" t="s">
        <v>6518</v>
      </c>
      <c r="I193" s="134" t="s">
        <v>7960</v>
      </c>
      <c r="J193" s="134" t="s">
        <v>568</v>
      </c>
      <c r="K193" s="133">
        <v>2019</v>
      </c>
      <c r="L193" s="137" t="s">
        <v>7499</v>
      </c>
      <c r="M193" s="139"/>
      <c r="N193" s="147" t="s">
        <v>7961</v>
      </c>
      <c r="O193" s="34"/>
      <c r="P193" s="34"/>
      <c r="Q193" s="34"/>
      <c r="R193" s="34"/>
      <c r="S193" s="34"/>
    </row>
    <row r="194" spans="1:19" ht="16.350000000000001" customHeight="1">
      <c r="A194" s="16">
        <v>193</v>
      </c>
      <c r="B194" s="134" t="s">
        <v>5071</v>
      </c>
      <c r="C194" s="134" t="s">
        <v>7491</v>
      </c>
      <c r="D194" s="135">
        <v>9781522562993</v>
      </c>
      <c r="E194" s="135">
        <v>9781522562986</v>
      </c>
      <c r="F194" s="136" t="s">
        <v>7965</v>
      </c>
      <c r="G194" s="133">
        <v>1</v>
      </c>
      <c r="H194" s="134" t="s">
        <v>6518</v>
      </c>
      <c r="I194" s="134" t="s">
        <v>7966</v>
      </c>
      <c r="J194" s="134" t="s">
        <v>568</v>
      </c>
      <c r="K194" s="133">
        <v>2019</v>
      </c>
      <c r="L194" s="137" t="s">
        <v>7499</v>
      </c>
      <c r="M194" s="139"/>
      <c r="N194" s="147" t="s">
        <v>7967</v>
      </c>
      <c r="O194" s="34"/>
      <c r="P194" s="34"/>
      <c r="Q194" s="34"/>
      <c r="R194" s="34"/>
      <c r="S194" s="34"/>
    </row>
    <row r="195" spans="1:19" ht="16.350000000000001" customHeight="1">
      <c r="A195" s="16">
        <v>194</v>
      </c>
      <c r="B195" s="134" t="s">
        <v>5071</v>
      </c>
      <c r="C195" s="134" t="s">
        <v>7491</v>
      </c>
      <c r="D195" s="135">
        <v>9781522571568</v>
      </c>
      <c r="E195" s="135">
        <v>9781522571551</v>
      </c>
      <c r="F195" s="136" t="s">
        <v>7968</v>
      </c>
      <c r="G195" s="133">
        <v>1</v>
      </c>
      <c r="H195" s="134" t="s">
        <v>6518</v>
      </c>
      <c r="I195" s="134" t="s">
        <v>7969</v>
      </c>
      <c r="J195" s="134" t="s">
        <v>568</v>
      </c>
      <c r="K195" s="133">
        <v>2019</v>
      </c>
      <c r="L195" s="137" t="s">
        <v>7499</v>
      </c>
      <c r="M195" s="139"/>
      <c r="N195" s="147" t="s">
        <v>7970</v>
      </c>
      <c r="O195" s="34"/>
      <c r="P195" s="34"/>
      <c r="Q195" s="34"/>
      <c r="R195" s="34"/>
      <c r="S195" s="34"/>
    </row>
    <row r="196" spans="1:19" ht="16.350000000000001" customHeight="1">
      <c r="A196" s="16">
        <v>195</v>
      </c>
      <c r="B196" s="134" t="s">
        <v>5071</v>
      </c>
      <c r="C196" s="134" t="s">
        <v>7491</v>
      </c>
      <c r="D196" s="135">
        <v>9781522538127</v>
      </c>
      <c r="E196" s="135">
        <v>9781522538110</v>
      </c>
      <c r="F196" s="136" t="s">
        <v>7974</v>
      </c>
      <c r="G196" s="133">
        <v>1</v>
      </c>
      <c r="H196" s="134" t="s">
        <v>6518</v>
      </c>
      <c r="I196" s="134" t="s">
        <v>7975</v>
      </c>
      <c r="J196" s="134" t="s">
        <v>568</v>
      </c>
      <c r="K196" s="133">
        <v>2019</v>
      </c>
      <c r="L196" s="137" t="s">
        <v>7499</v>
      </c>
      <c r="M196" s="139"/>
      <c r="N196" s="147" t="s">
        <v>7976</v>
      </c>
      <c r="O196" s="34"/>
      <c r="P196" s="34"/>
      <c r="Q196" s="34"/>
      <c r="R196" s="34"/>
      <c r="S196" s="34"/>
    </row>
    <row r="197" spans="1:19" ht="16.350000000000001" customHeight="1">
      <c r="A197" s="16">
        <v>196</v>
      </c>
      <c r="B197" s="134" t="s">
        <v>5071</v>
      </c>
      <c r="C197" s="134" t="s">
        <v>7491</v>
      </c>
      <c r="D197" s="135">
        <v>9781522578925</v>
      </c>
      <c r="E197" s="135">
        <v>9781522578918</v>
      </c>
      <c r="F197" s="136" t="s">
        <v>7977</v>
      </c>
      <c r="G197" s="133">
        <v>1</v>
      </c>
      <c r="H197" s="134" t="s">
        <v>6518</v>
      </c>
      <c r="I197" s="134" t="s">
        <v>7978</v>
      </c>
      <c r="J197" s="134" t="s">
        <v>568</v>
      </c>
      <c r="K197" s="133">
        <v>2019</v>
      </c>
      <c r="L197" s="137" t="s">
        <v>7499</v>
      </c>
      <c r="M197" s="139"/>
      <c r="N197" s="147" t="s">
        <v>7979</v>
      </c>
      <c r="O197" s="34"/>
      <c r="P197" s="34"/>
      <c r="Q197" s="34"/>
      <c r="R197" s="34"/>
      <c r="S197" s="34"/>
    </row>
    <row r="198" spans="1:19" ht="16.350000000000001" customHeight="1">
      <c r="A198" s="16">
        <v>197</v>
      </c>
      <c r="B198" s="134" t="s">
        <v>5071</v>
      </c>
      <c r="C198" s="134" t="s">
        <v>7491</v>
      </c>
      <c r="D198" s="135">
        <v>9781522563020</v>
      </c>
      <c r="E198" s="135">
        <v>9781522563013</v>
      </c>
      <c r="F198" s="136" t="s">
        <v>7983</v>
      </c>
      <c r="G198" s="133">
        <v>1</v>
      </c>
      <c r="H198" s="134" t="s">
        <v>6518</v>
      </c>
      <c r="I198" s="134" t="s">
        <v>7984</v>
      </c>
      <c r="J198" s="134" t="s">
        <v>568</v>
      </c>
      <c r="K198" s="133">
        <v>2019</v>
      </c>
      <c r="L198" s="137" t="s">
        <v>7499</v>
      </c>
      <c r="M198" s="139"/>
      <c r="N198" s="147" t="s">
        <v>7985</v>
      </c>
      <c r="O198" s="34"/>
      <c r="P198" s="34"/>
      <c r="Q198" s="34"/>
      <c r="R198" s="34"/>
      <c r="S198" s="34"/>
    </row>
    <row r="199" spans="1:19" ht="16.350000000000001" customHeight="1">
      <c r="A199" s="16">
        <v>198</v>
      </c>
      <c r="B199" s="134" t="s">
        <v>5071</v>
      </c>
      <c r="C199" s="134" t="s">
        <v>7491</v>
      </c>
      <c r="D199" s="135">
        <v>9781522576204</v>
      </c>
      <c r="E199" s="135">
        <v>9781522576198</v>
      </c>
      <c r="F199" s="136" t="s">
        <v>7989</v>
      </c>
      <c r="G199" s="133">
        <v>1</v>
      </c>
      <c r="H199" s="134" t="s">
        <v>6518</v>
      </c>
      <c r="I199" s="134" t="s">
        <v>7990</v>
      </c>
      <c r="J199" s="134" t="s">
        <v>568</v>
      </c>
      <c r="K199" s="133">
        <v>2019</v>
      </c>
      <c r="L199" s="137" t="s">
        <v>7499</v>
      </c>
      <c r="M199" s="139"/>
      <c r="N199" s="147" t="s">
        <v>7991</v>
      </c>
      <c r="O199" s="34"/>
      <c r="P199" s="34"/>
      <c r="Q199" s="34"/>
      <c r="R199" s="34"/>
      <c r="S199" s="34"/>
    </row>
    <row r="200" spans="1:19" ht="16.350000000000001" customHeight="1">
      <c r="A200" s="16">
        <v>199</v>
      </c>
      <c r="B200" s="134" t="s">
        <v>5071</v>
      </c>
      <c r="C200" s="134" t="s">
        <v>7491</v>
      </c>
      <c r="D200" s="135">
        <v>9781522569848</v>
      </c>
      <c r="E200" s="135">
        <v>9781522569831</v>
      </c>
      <c r="F200" s="136" t="s">
        <v>8006</v>
      </c>
      <c r="G200" s="133">
        <v>1</v>
      </c>
      <c r="H200" s="134" t="s">
        <v>6518</v>
      </c>
      <c r="I200" s="134" t="s">
        <v>8007</v>
      </c>
      <c r="J200" s="134" t="s">
        <v>568</v>
      </c>
      <c r="K200" s="133">
        <v>2019</v>
      </c>
      <c r="L200" s="137" t="s">
        <v>7499</v>
      </c>
      <c r="M200" s="139"/>
      <c r="N200" s="147" t="s">
        <v>8008</v>
      </c>
      <c r="O200" s="34"/>
      <c r="P200" s="34"/>
      <c r="Q200" s="34"/>
      <c r="R200" s="34"/>
      <c r="S200" s="34"/>
    </row>
    <row r="201" spans="1:19" ht="16.350000000000001" customHeight="1">
      <c r="A201" s="16">
        <v>200</v>
      </c>
      <c r="B201" s="134" t="s">
        <v>5071</v>
      </c>
      <c r="C201" s="134" t="s">
        <v>7491</v>
      </c>
      <c r="D201" s="135">
        <v>9781522569527</v>
      </c>
      <c r="E201" s="135">
        <v>9781522569510</v>
      </c>
      <c r="F201" s="136" t="s">
        <v>8036</v>
      </c>
      <c r="G201" s="133">
        <v>1</v>
      </c>
      <c r="H201" s="134" t="s">
        <v>6518</v>
      </c>
      <c r="I201" s="134" t="s">
        <v>8037</v>
      </c>
      <c r="J201" s="134" t="s">
        <v>568</v>
      </c>
      <c r="K201" s="133">
        <v>2019</v>
      </c>
      <c r="L201" s="137" t="s">
        <v>7499</v>
      </c>
      <c r="M201" s="139"/>
      <c r="N201" s="147" t="s">
        <v>8038</v>
      </c>
      <c r="O201" s="34"/>
      <c r="P201" s="34"/>
      <c r="Q201" s="34"/>
      <c r="R201" s="34"/>
      <c r="S201" s="34"/>
    </row>
    <row r="202" spans="1:19" ht="16.350000000000001" customHeight="1">
      <c r="A202" s="16">
        <v>201</v>
      </c>
      <c r="B202" s="134" t="s">
        <v>5071</v>
      </c>
      <c r="C202" s="134" t="s">
        <v>7491</v>
      </c>
      <c r="D202" s="135">
        <v>9781522560654</v>
      </c>
      <c r="E202" s="135">
        <v>9781522560647</v>
      </c>
      <c r="F202" s="136" t="s">
        <v>8049</v>
      </c>
      <c r="G202" s="133">
        <v>1</v>
      </c>
      <c r="H202" s="134" t="s">
        <v>6518</v>
      </c>
      <c r="I202" s="134" t="s">
        <v>8050</v>
      </c>
      <c r="J202" s="134" t="s">
        <v>568</v>
      </c>
      <c r="K202" s="133">
        <v>2019</v>
      </c>
      <c r="L202" s="137" t="s">
        <v>7499</v>
      </c>
      <c r="M202" s="139"/>
      <c r="N202" s="147" t="s">
        <v>8051</v>
      </c>
      <c r="O202" s="34"/>
      <c r="P202" s="34"/>
      <c r="Q202" s="34"/>
      <c r="R202" s="34"/>
      <c r="S202" s="34"/>
    </row>
    <row r="203" spans="1:19" ht="16.350000000000001" customHeight="1">
      <c r="A203" s="16">
        <v>202</v>
      </c>
      <c r="B203" s="134" t="s">
        <v>5071</v>
      </c>
      <c r="C203" s="134" t="s">
        <v>7491</v>
      </c>
      <c r="D203" s="135">
        <v>9781522557616</v>
      </c>
      <c r="E203" s="135">
        <v>9781522557609</v>
      </c>
      <c r="F203" s="136" t="s">
        <v>8065</v>
      </c>
      <c r="G203" s="133">
        <v>1</v>
      </c>
      <c r="H203" s="134" t="s">
        <v>6518</v>
      </c>
      <c r="I203" s="134" t="s">
        <v>8066</v>
      </c>
      <c r="J203" s="134" t="s">
        <v>568</v>
      </c>
      <c r="K203" s="133">
        <v>2019</v>
      </c>
      <c r="L203" s="137" t="s">
        <v>7499</v>
      </c>
      <c r="M203" s="139"/>
      <c r="N203" s="147" t="s">
        <v>8067</v>
      </c>
      <c r="O203" s="34"/>
      <c r="P203" s="34"/>
      <c r="Q203" s="34"/>
      <c r="R203" s="34"/>
      <c r="S203" s="34"/>
    </row>
    <row r="204" spans="1:19" ht="16.350000000000001" customHeight="1">
      <c r="A204" s="16">
        <v>203</v>
      </c>
      <c r="B204" s="134" t="s">
        <v>5071</v>
      </c>
      <c r="C204" s="134" t="s">
        <v>7491</v>
      </c>
      <c r="D204" s="135">
        <v>9781522554431</v>
      </c>
      <c r="E204" s="135">
        <v>9781522554424</v>
      </c>
      <c r="F204" s="136" t="s">
        <v>8077</v>
      </c>
      <c r="G204" s="133">
        <v>1</v>
      </c>
      <c r="H204" s="134" t="s">
        <v>6518</v>
      </c>
      <c r="I204" s="134" t="s">
        <v>8078</v>
      </c>
      <c r="J204" s="134" t="s">
        <v>568</v>
      </c>
      <c r="K204" s="133">
        <v>2019</v>
      </c>
      <c r="L204" s="137" t="s">
        <v>7499</v>
      </c>
      <c r="M204" s="139"/>
      <c r="N204" s="147" t="s">
        <v>8079</v>
      </c>
      <c r="O204" s="34"/>
      <c r="P204" s="34"/>
      <c r="Q204" s="34"/>
      <c r="R204" s="34"/>
      <c r="S204" s="34"/>
    </row>
    <row r="205" spans="1:19" ht="16.350000000000001" customHeight="1">
      <c r="A205" s="16">
        <v>204</v>
      </c>
      <c r="B205" s="134" t="s">
        <v>5071</v>
      </c>
      <c r="C205" s="134" t="s">
        <v>7491</v>
      </c>
      <c r="D205" s="135">
        <v>9781522554103</v>
      </c>
      <c r="E205" s="135">
        <v>9781522554097</v>
      </c>
      <c r="F205" s="136" t="s">
        <v>8097</v>
      </c>
      <c r="G205" s="133">
        <v>1</v>
      </c>
      <c r="H205" s="134" t="s">
        <v>6518</v>
      </c>
      <c r="I205" s="134" t="s">
        <v>8098</v>
      </c>
      <c r="J205" s="134" t="s">
        <v>568</v>
      </c>
      <c r="K205" s="133">
        <v>2019</v>
      </c>
      <c r="L205" s="137" t="s">
        <v>7499</v>
      </c>
      <c r="M205" s="139"/>
      <c r="N205" s="147" t="s">
        <v>8099</v>
      </c>
      <c r="O205" s="34"/>
      <c r="P205" s="34"/>
      <c r="Q205" s="34"/>
      <c r="R205" s="34"/>
      <c r="S205" s="34"/>
    </row>
    <row r="206" spans="1:19" ht="16.350000000000001" customHeight="1">
      <c r="A206" s="16">
        <v>205</v>
      </c>
      <c r="B206" s="134" t="s">
        <v>5071</v>
      </c>
      <c r="C206" s="134" t="s">
        <v>7491</v>
      </c>
      <c r="D206" s="135">
        <v>9781522557647</v>
      </c>
      <c r="E206" s="135">
        <v>9781522557630</v>
      </c>
      <c r="F206" s="136" t="s">
        <v>8100</v>
      </c>
      <c r="G206" s="133">
        <v>1</v>
      </c>
      <c r="H206" s="134" t="s">
        <v>6518</v>
      </c>
      <c r="I206" s="134" t="s">
        <v>8101</v>
      </c>
      <c r="J206" s="134" t="s">
        <v>568</v>
      </c>
      <c r="K206" s="133">
        <v>2019</v>
      </c>
      <c r="L206" s="137" t="s">
        <v>7499</v>
      </c>
      <c r="M206" s="139"/>
      <c r="N206" s="147" t="s">
        <v>8102</v>
      </c>
      <c r="O206" s="34"/>
      <c r="P206" s="34"/>
      <c r="Q206" s="34"/>
      <c r="R206" s="34"/>
      <c r="S206" s="34"/>
    </row>
    <row r="207" spans="1:19" ht="16.350000000000001" customHeight="1">
      <c r="A207" s="16">
        <v>206</v>
      </c>
      <c r="B207" s="134" t="s">
        <v>5071</v>
      </c>
      <c r="C207" s="134" t="s">
        <v>7491</v>
      </c>
      <c r="D207" s="135">
        <v>9781522584353</v>
      </c>
      <c r="E207" s="135">
        <v>9781522584346</v>
      </c>
      <c r="F207" s="136" t="s">
        <v>8133</v>
      </c>
      <c r="G207" s="133">
        <v>1</v>
      </c>
      <c r="H207" s="134" t="s">
        <v>6518</v>
      </c>
      <c r="I207" s="134" t="s">
        <v>6664</v>
      </c>
      <c r="J207" s="134" t="s">
        <v>568</v>
      </c>
      <c r="K207" s="133">
        <v>2019</v>
      </c>
      <c r="L207" s="137" t="s">
        <v>7499</v>
      </c>
      <c r="M207" s="139"/>
      <c r="N207" s="147" t="s">
        <v>8134</v>
      </c>
      <c r="O207" s="34"/>
      <c r="P207" s="34"/>
      <c r="Q207" s="34"/>
      <c r="R207" s="34"/>
      <c r="S207" s="34"/>
    </row>
    <row r="208" spans="1:19" ht="16.350000000000001" customHeight="1">
      <c r="A208" s="16">
        <v>207</v>
      </c>
      <c r="B208" s="134" t="s">
        <v>5071</v>
      </c>
      <c r="C208" s="134" t="s">
        <v>7491</v>
      </c>
      <c r="D208" s="135">
        <v>9781522570844</v>
      </c>
      <c r="E208" s="135">
        <v>9781522570837</v>
      </c>
      <c r="F208" s="136" t="s">
        <v>8153</v>
      </c>
      <c r="G208" s="133">
        <v>1</v>
      </c>
      <c r="H208" s="134" t="s">
        <v>6518</v>
      </c>
      <c r="I208" s="134" t="s">
        <v>8154</v>
      </c>
      <c r="J208" s="134" t="s">
        <v>1233</v>
      </c>
      <c r="K208" s="133">
        <v>2019</v>
      </c>
      <c r="L208" s="137" t="s">
        <v>7499</v>
      </c>
      <c r="M208" s="139"/>
      <c r="N208" s="147" t="s">
        <v>8155</v>
      </c>
      <c r="O208" s="34"/>
      <c r="P208" s="34"/>
      <c r="Q208" s="34"/>
      <c r="R208" s="34"/>
      <c r="S208" s="34"/>
    </row>
    <row r="209" spans="1:19" ht="16.350000000000001" customHeight="1">
      <c r="A209" s="16">
        <v>208</v>
      </c>
      <c r="B209" s="134" t="s">
        <v>5071</v>
      </c>
      <c r="C209" s="134" t="s">
        <v>7492</v>
      </c>
      <c r="D209" s="135">
        <v>9781466644755</v>
      </c>
      <c r="E209" s="135">
        <v>9781466644748</v>
      </c>
      <c r="F209" s="136" t="s">
        <v>7834</v>
      </c>
      <c r="G209" s="133">
        <v>1</v>
      </c>
      <c r="H209" s="134" t="s">
        <v>6518</v>
      </c>
      <c r="I209" s="134" t="s">
        <v>7835</v>
      </c>
      <c r="J209" s="134" t="s">
        <v>568</v>
      </c>
      <c r="K209" s="133">
        <v>2014</v>
      </c>
      <c r="L209" s="137" t="s">
        <v>7499</v>
      </c>
      <c r="M209" s="139"/>
      <c r="N209" s="147" t="s">
        <v>7836</v>
      </c>
      <c r="O209" s="34"/>
      <c r="P209" s="34"/>
      <c r="Q209" s="34"/>
      <c r="R209" s="34"/>
      <c r="S209" s="34"/>
    </row>
    <row r="210" spans="1:19" ht="16.350000000000001" customHeight="1">
      <c r="A210" s="16">
        <v>209</v>
      </c>
      <c r="B210" s="134" t="s">
        <v>5071</v>
      </c>
      <c r="C210" s="134" t="s">
        <v>7492</v>
      </c>
      <c r="D210" s="135">
        <v>9781522522355</v>
      </c>
      <c r="E210" s="135">
        <v>9781522522348</v>
      </c>
      <c r="F210" s="136" t="s">
        <v>7847</v>
      </c>
      <c r="G210" s="133">
        <v>1</v>
      </c>
      <c r="H210" s="134" t="s">
        <v>6518</v>
      </c>
      <c r="I210" s="134" t="s">
        <v>7848</v>
      </c>
      <c r="J210" s="134" t="s">
        <v>568</v>
      </c>
      <c r="K210" s="133">
        <v>2017</v>
      </c>
      <c r="L210" s="137" t="s">
        <v>7499</v>
      </c>
      <c r="M210" s="139"/>
      <c r="N210" s="147" t="s">
        <v>7849</v>
      </c>
      <c r="O210" s="34"/>
      <c r="P210" s="34"/>
      <c r="Q210" s="34"/>
      <c r="R210" s="34"/>
      <c r="S210" s="34"/>
    </row>
    <row r="211" spans="1:19" ht="16.350000000000001" customHeight="1">
      <c r="A211" s="16">
        <v>210</v>
      </c>
      <c r="B211" s="134" t="s">
        <v>5071</v>
      </c>
      <c r="C211" s="134" t="s">
        <v>7492</v>
      </c>
      <c r="D211" s="135">
        <v>9781522507475</v>
      </c>
      <c r="E211" s="135">
        <v>9781522507468</v>
      </c>
      <c r="F211" s="136" t="s">
        <v>7853</v>
      </c>
      <c r="G211" s="133">
        <v>1</v>
      </c>
      <c r="H211" s="134" t="s">
        <v>6518</v>
      </c>
      <c r="I211" s="134" t="s">
        <v>7854</v>
      </c>
      <c r="J211" s="134" t="s">
        <v>568</v>
      </c>
      <c r="K211" s="133">
        <v>2017</v>
      </c>
      <c r="L211" s="137" t="s">
        <v>7499</v>
      </c>
      <c r="M211" s="139"/>
      <c r="N211" s="147" t="s">
        <v>7855</v>
      </c>
      <c r="O211" s="34"/>
      <c r="P211" s="34"/>
      <c r="Q211" s="34"/>
      <c r="R211" s="34"/>
      <c r="S211" s="34"/>
    </row>
    <row r="212" spans="1:19" ht="16.350000000000001" customHeight="1">
      <c r="A212" s="16">
        <v>211</v>
      </c>
      <c r="B212" s="134" t="s">
        <v>5071</v>
      </c>
      <c r="C212" s="134" t="s">
        <v>7492</v>
      </c>
      <c r="D212" s="135">
        <v>9781522547587</v>
      </c>
      <c r="E212" s="135">
        <v>9781522547570</v>
      </c>
      <c r="F212" s="136" t="s">
        <v>7882</v>
      </c>
      <c r="G212" s="133">
        <v>1</v>
      </c>
      <c r="H212" s="134" t="s">
        <v>6518</v>
      </c>
      <c r="I212" s="134" t="s">
        <v>7883</v>
      </c>
      <c r="J212" s="134" t="s">
        <v>568</v>
      </c>
      <c r="K212" s="133">
        <v>2018</v>
      </c>
      <c r="L212" s="137" t="s">
        <v>7499</v>
      </c>
      <c r="M212" s="139"/>
      <c r="N212" s="147" t="s">
        <v>7884</v>
      </c>
      <c r="O212" s="34"/>
      <c r="P212" s="34"/>
      <c r="Q212" s="34"/>
      <c r="R212" s="34"/>
      <c r="S212" s="34"/>
    </row>
    <row r="213" spans="1:19" ht="16.350000000000001" customHeight="1">
      <c r="A213" s="16">
        <v>212</v>
      </c>
      <c r="B213" s="134" t="s">
        <v>5071</v>
      </c>
      <c r="C213" s="134" t="s">
        <v>7492</v>
      </c>
      <c r="D213" s="135">
        <v>9781522576105</v>
      </c>
      <c r="E213" s="135">
        <v>9781522576099</v>
      </c>
      <c r="F213" s="136" t="s">
        <v>7992</v>
      </c>
      <c r="G213" s="133">
        <v>1</v>
      </c>
      <c r="H213" s="134" t="s">
        <v>6518</v>
      </c>
      <c r="I213" s="134" t="s">
        <v>7993</v>
      </c>
      <c r="J213" s="134" t="s">
        <v>568</v>
      </c>
      <c r="K213" s="133">
        <v>2019</v>
      </c>
      <c r="L213" s="137" t="s">
        <v>7499</v>
      </c>
      <c r="M213" s="139"/>
      <c r="N213" s="147" t="s">
        <v>7994</v>
      </c>
      <c r="O213" s="34"/>
      <c r="P213" s="34"/>
      <c r="Q213" s="34"/>
      <c r="R213" s="34"/>
      <c r="S213" s="34"/>
    </row>
    <row r="214" spans="1:19" ht="16.350000000000001" customHeight="1">
      <c r="A214" s="16">
        <v>213</v>
      </c>
      <c r="B214" s="134" t="s">
        <v>5071</v>
      </c>
      <c r="C214" s="134" t="s">
        <v>7492</v>
      </c>
      <c r="D214" s="135">
        <v>9781522554257</v>
      </c>
      <c r="E214" s="135">
        <v>9781522554240</v>
      </c>
      <c r="F214" s="136" t="s">
        <v>8039</v>
      </c>
      <c r="G214" s="133">
        <v>1</v>
      </c>
      <c r="H214" s="134" t="s">
        <v>6518</v>
      </c>
      <c r="I214" s="134" t="s">
        <v>8040</v>
      </c>
      <c r="J214" s="134" t="s">
        <v>568</v>
      </c>
      <c r="K214" s="133">
        <v>2019</v>
      </c>
      <c r="L214" s="137" t="s">
        <v>7499</v>
      </c>
      <c r="M214" s="139"/>
      <c r="N214" s="147" t="s">
        <v>8041</v>
      </c>
      <c r="O214" s="34"/>
      <c r="P214" s="34"/>
      <c r="Q214" s="34"/>
      <c r="R214" s="34"/>
      <c r="S214" s="34"/>
    </row>
    <row r="215" spans="1:19" ht="16.350000000000001" customHeight="1">
      <c r="A215" s="16">
        <v>214</v>
      </c>
      <c r="B215" s="134" t="s">
        <v>5071</v>
      </c>
      <c r="C215" s="134" t="s">
        <v>7492</v>
      </c>
      <c r="D215" s="135">
        <v>9781522549642</v>
      </c>
      <c r="E215" s="135">
        <v>9781522549635</v>
      </c>
      <c r="F215" s="136" t="s">
        <v>8087</v>
      </c>
      <c r="G215" s="133">
        <v>1</v>
      </c>
      <c r="H215" s="134" t="s">
        <v>6518</v>
      </c>
      <c r="I215" s="134" t="s">
        <v>8088</v>
      </c>
      <c r="J215" s="134" t="s">
        <v>568</v>
      </c>
      <c r="K215" s="133">
        <v>2019</v>
      </c>
      <c r="L215" s="137" t="s">
        <v>7499</v>
      </c>
      <c r="M215" s="139"/>
      <c r="N215" s="147" t="s">
        <v>8089</v>
      </c>
      <c r="O215" s="34"/>
      <c r="P215" s="34"/>
      <c r="Q215" s="34"/>
      <c r="R215" s="34"/>
      <c r="S215" s="34"/>
    </row>
    <row r="216" spans="1:19" ht="16.350000000000001" customHeight="1">
      <c r="A216" s="16">
        <v>215</v>
      </c>
      <c r="B216" s="134" t="s">
        <v>5071</v>
      </c>
      <c r="C216" s="134" t="s">
        <v>7492</v>
      </c>
      <c r="D216" s="135">
        <v>9781522535355</v>
      </c>
      <c r="E216" s="135">
        <v>9781522535348</v>
      </c>
      <c r="F216" s="136" t="s">
        <v>8109</v>
      </c>
      <c r="G216" s="133">
        <v>1</v>
      </c>
      <c r="H216" s="134" t="s">
        <v>6518</v>
      </c>
      <c r="I216" s="134" t="s">
        <v>6509</v>
      </c>
      <c r="J216" s="134" t="s">
        <v>568</v>
      </c>
      <c r="K216" s="133">
        <v>2019</v>
      </c>
      <c r="L216" s="137" t="s">
        <v>7499</v>
      </c>
      <c r="M216" s="139"/>
      <c r="N216" s="147" t="s">
        <v>8110</v>
      </c>
      <c r="O216" s="34"/>
      <c r="P216" s="34"/>
      <c r="Q216" s="34"/>
      <c r="R216" s="34"/>
      <c r="S216" s="34"/>
    </row>
    <row r="217" spans="1:19" ht="16.350000000000001" customHeight="1">
      <c r="A217" s="16">
        <v>216</v>
      </c>
      <c r="B217" s="134" t="s">
        <v>5071</v>
      </c>
      <c r="C217" s="134" t="s">
        <v>7492</v>
      </c>
      <c r="D217" s="135">
        <v>9781522578574</v>
      </c>
      <c r="E217" s="135">
        <v>9781522578567</v>
      </c>
      <c r="F217" s="136" t="s">
        <v>8119</v>
      </c>
      <c r="G217" s="133">
        <v>1</v>
      </c>
      <c r="H217" s="134" t="s">
        <v>6518</v>
      </c>
      <c r="I217" s="134" t="s">
        <v>8120</v>
      </c>
      <c r="J217" s="134" t="s">
        <v>568</v>
      </c>
      <c r="K217" s="133">
        <v>2019</v>
      </c>
      <c r="L217" s="137" t="s">
        <v>7499</v>
      </c>
      <c r="M217" s="139"/>
      <c r="N217" s="147" t="s">
        <v>8121</v>
      </c>
      <c r="O217" s="34"/>
      <c r="P217" s="34"/>
      <c r="Q217" s="34"/>
      <c r="R217" s="34"/>
      <c r="S217" s="34"/>
    </row>
    <row r="218" spans="1:19" ht="16.350000000000001" customHeight="1">
      <c r="A218" s="16">
        <v>217</v>
      </c>
      <c r="B218" s="134" t="s">
        <v>5071</v>
      </c>
      <c r="C218" s="134" t="s">
        <v>7492</v>
      </c>
      <c r="D218" s="135">
        <v>9781522581321</v>
      </c>
      <c r="E218" s="135">
        <v>9781522581314</v>
      </c>
      <c r="F218" s="136" t="s">
        <v>8122</v>
      </c>
      <c r="G218" s="133">
        <v>1</v>
      </c>
      <c r="H218" s="134" t="s">
        <v>6518</v>
      </c>
      <c r="I218" s="134" t="s">
        <v>8123</v>
      </c>
      <c r="J218" s="134" t="s">
        <v>568</v>
      </c>
      <c r="K218" s="133">
        <v>2019</v>
      </c>
      <c r="L218" s="137" t="s">
        <v>7499</v>
      </c>
      <c r="M218" s="139"/>
      <c r="N218" s="147" t="s">
        <v>8124</v>
      </c>
      <c r="O218" s="34"/>
      <c r="P218" s="34"/>
      <c r="Q218" s="34"/>
      <c r="R218" s="34"/>
      <c r="S218" s="34"/>
    </row>
    <row r="219" spans="1:19" ht="16.350000000000001" customHeight="1">
      <c r="A219" s="16">
        <v>218</v>
      </c>
      <c r="B219" s="134" t="s">
        <v>5071</v>
      </c>
      <c r="C219" s="134" t="s">
        <v>7492</v>
      </c>
      <c r="D219" s="135">
        <v>9781522582939</v>
      </c>
      <c r="E219" s="135">
        <v>9781522582922</v>
      </c>
      <c r="F219" s="136" t="s">
        <v>8125</v>
      </c>
      <c r="G219" s="133">
        <v>1</v>
      </c>
      <c r="H219" s="134" t="s">
        <v>6518</v>
      </c>
      <c r="I219" s="134" t="s">
        <v>8126</v>
      </c>
      <c r="J219" s="134" t="s">
        <v>568</v>
      </c>
      <c r="K219" s="133">
        <v>2019</v>
      </c>
      <c r="L219" s="137" t="s">
        <v>7499</v>
      </c>
      <c r="M219" s="139"/>
      <c r="N219" s="147" t="s">
        <v>8127</v>
      </c>
      <c r="O219" s="34"/>
      <c r="P219" s="34"/>
      <c r="Q219" s="34"/>
      <c r="R219" s="34"/>
      <c r="S219" s="34"/>
    </row>
    <row r="220" spans="1:19" ht="16.350000000000001" customHeight="1">
      <c r="A220" s="16">
        <v>219</v>
      </c>
      <c r="B220" s="134" t="s">
        <v>5071</v>
      </c>
      <c r="C220" s="134" t="s">
        <v>7492</v>
      </c>
      <c r="D220" s="135">
        <v>9781522582991</v>
      </c>
      <c r="E220" s="135">
        <v>9781522582984</v>
      </c>
      <c r="F220" s="136" t="s">
        <v>8135</v>
      </c>
      <c r="G220" s="133">
        <v>1</v>
      </c>
      <c r="H220" s="134" t="s">
        <v>6518</v>
      </c>
      <c r="I220" s="134" t="s">
        <v>8136</v>
      </c>
      <c r="J220" s="134" t="s">
        <v>568</v>
      </c>
      <c r="K220" s="133">
        <v>2019</v>
      </c>
      <c r="L220" s="137" t="s">
        <v>7499</v>
      </c>
      <c r="M220" s="139"/>
      <c r="N220" s="147" t="s">
        <v>8137</v>
      </c>
      <c r="O220" s="34"/>
      <c r="P220" s="34"/>
      <c r="Q220" s="34"/>
      <c r="R220" s="34"/>
      <c r="S220" s="34"/>
    </row>
    <row r="221" spans="1:19" ht="16.350000000000001" customHeight="1">
      <c r="A221" s="16">
        <v>220</v>
      </c>
      <c r="B221" s="134" t="s">
        <v>5071</v>
      </c>
      <c r="C221" s="134" t="s">
        <v>7492</v>
      </c>
      <c r="D221" s="135">
        <v>9781522599838</v>
      </c>
      <c r="E221" s="135">
        <v>9781522599814</v>
      </c>
      <c r="F221" s="136" t="s">
        <v>8499</v>
      </c>
      <c r="G221" s="133">
        <v>1</v>
      </c>
      <c r="H221" s="134" t="s">
        <v>6518</v>
      </c>
      <c r="I221" s="134" t="s">
        <v>8181</v>
      </c>
      <c r="J221" s="134" t="s">
        <v>568</v>
      </c>
      <c r="K221" s="133">
        <v>2020</v>
      </c>
      <c r="L221" s="137" t="s">
        <v>7499</v>
      </c>
      <c r="M221" s="139"/>
      <c r="N221" s="147" t="s">
        <v>8182</v>
      </c>
      <c r="O221" s="34"/>
      <c r="P221" s="34"/>
      <c r="Q221" s="34"/>
      <c r="R221" s="34"/>
      <c r="S221" s="34"/>
    </row>
    <row r="222" spans="1:19" ht="16.350000000000001" customHeight="1">
      <c r="A222" s="16">
        <v>221</v>
      </c>
      <c r="B222" s="134" t="s">
        <v>5071</v>
      </c>
      <c r="C222" s="134" t="s">
        <v>7492</v>
      </c>
      <c r="D222" s="135">
        <v>9781522584568</v>
      </c>
      <c r="E222" s="135">
        <v>9781522584551</v>
      </c>
      <c r="F222" s="136" t="s">
        <v>8188</v>
      </c>
      <c r="G222" s="133">
        <v>1</v>
      </c>
      <c r="H222" s="134" t="s">
        <v>6518</v>
      </c>
      <c r="I222" s="134" t="s">
        <v>2567</v>
      </c>
      <c r="J222" s="134" t="s">
        <v>569</v>
      </c>
      <c r="K222" s="133">
        <v>2019</v>
      </c>
      <c r="L222" s="137" t="s">
        <v>7499</v>
      </c>
      <c r="M222" s="139"/>
      <c r="N222" s="147" t="s">
        <v>8189</v>
      </c>
      <c r="O222" s="34"/>
      <c r="P222" s="34"/>
      <c r="Q222" s="34"/>
      <c r="R222" s="34"/>
      <c r="S222" s="34"/>
    </row>
    <row r="223" spans="1:19" ht="16.350000000000001" customHeight="1">
      <c r="A223" s="16">
        <v>222</v>
      </c>
      <c r="B223" s="134" t="s">
        <v>5071</v>
      </c>
      <c r="C223" s="134" t="s">
        <v>7675</v>
      </c>
      <c r="D223" s="135">
        <v>9781522557739</v>
      </c>
      <c r="E223" s="135">
        <v>9781522557722</v>
      </c>
      <c r="F223" s="136" t="s">
        <v>7859</v>
      </c>
      <c r="G223" s="133">
        <v>1</v>
      </c>
      <c r="H223" s="134" t="s">
        <v>6518</v>
      </c>
      <c r="I223" s="134" t="s">
        <v>7860</v>
      </c>
      <c r="J223" s="134" t="s">
        <v>568</v>
      </c>
      <c r="K223" s="133">
        <v>2018</v>
      </c>
      <c r="L223" s="137" t="s">
        <v>7499</v>
      </c>
      <c r="M223" s="139"/>
      <c r="N223" s="147" t="s">
        <v>7861</v>
      </c>
      <c r="O223" s="34"/>
      <c r="P223" s="34"/>
      <c r="Q223" s="34"/>
      <c r="R223" s="34"/>
      <c r="S223" s="34"/>
    </row>
    <row r="224" spans="1:19" ht="16.350000000000001" customHeight="1">
      <c r="A224" s="16">
        <v>223</v>
      </c>
      <c r="B224" s="134" t="s">
        <v>5071</v>
      </c>
      <c r="C224" s="134" t="s">
        <v>7675</v>
      </c>
      <c r="D224" s="135">
        <v>9781522558446</v>
      </c>
      <c r="E224" s="135">
        <v>9781522558439</v>
      </c>
      <c r="F224" s="136" t="s">
        <v>8042</v>
      </c>
      <c r="G224" s="133">
        <v>1</v>
      </c>
      <c r="H224" s="134" t="s">
        <v>6518</v>
      </c>
      <c r="I224" s="134" t="s">
        <v>8043</v>
      </c>
      <c r="J224" s="134" t="s">
        <v>1233</v>
      </c>
      <c r="K224" s="133">
        <v>2019</v>
      </c>
      <c r="L224" s="137" t="s">
        <v>7499</v>
      </c>
      <c r="M224" s="139"/>
      <c r="N224" s="147" t="s">
        <v>8044</v>
      </c>
      <c r="O224" s="34"/>
      <c r="P224" s="34"/>
      <c r="Q224" s="34"/>
      <c r="R224" s="34"/>
      <c r="S224" s="34"/>
    </row>
    <row r="225" spans="1:19" ht="16.350000000000001" customHeight="1">
      <c r="A225" s="16">
        <v>224</v>
      </c>
      <c r="B225" s="134" t="s">
        <v>5071</v>
      </c>
      <c r="C225" s="134" t="s">
        <v>7675</v>
      </c>
      <c r="D225" s="135">
        <v>9781522553885</v>
      </c>
      <c r="E225" s="135">
        <v>9781522553878</v>
      </c>
      <c r="F225" s="136" t="s">
        <v>8074</v>
      </c>
      <c r="G225" s="133">
        <v>1</v>
      </c>
      <c r="H225" s="134" t="s">
        <v>6518</v>
      </c>
      <c r="I225" s="134" t="s">
        <v>8075</v>
      </c>
      <c r="J225" s="134" t="s">
        <v>568</v>
      </c>
      <c r="K225" s="133">
        <v>2019</v>
      </c>
      <c r="L225" s="137" t="s">
        <v>7499</v>
      </c>
      <c r="M225" s="139"/>
      <c r="N225" s="147" t="s">
        <v>8076</v>
      </c>
      <c r="O225" s="34"/>
      <c r="P225" s="34"/>
      <c r="Q225" s="34"/>
      <c r="R225" s="34"/>
      <c r="S225" s="34"/>
    </row>
    <row r="226" spans="1:19" ht="16.350000000000001" customHeight="1">
      <c r="A226" s="16">
        <v>225</v>
      </c>
      <c r="B226" s="134" t="s">
        <v>5071</v>
      </c>
      <c r="C226" s="134" t="s">
        <v>7675</v>
      </c>
      <c r="D226" s="135">
        <v>9781522573944</v>
      </c>
      <c r="E226" s="135">
        <v>9781522573937</v>
      </c>
      <c r="F226" s="136" t="s">
        <v>8116</v>
      </c>
      <c r="G226" s="133">
        <v>1</v>
      </c>
      <c r="H226" s="134" t="s">
        <v>6518</v>
      </c>
      <c r="I226" s="134" t="s">
        <v>8117</v>
      </c>
      <c r="J226" s="134" t="s">
        <v>568</v>
      </c>
      <c r="K226" s="133">
        <v>2019</v>
      </c>
      <c r="L226" s="137" t="s">
        <v>7499</v>
      </c>
      <c r="M226" s="139"/>
      <c r="N226" s="147" t="s">
        <v>8118</v>
      </c>
      <c r="O226" s="34"/>
      <c r="P226" s="34"/>
      <c r="Q226" s="34"/>
      <c r="R226" s="34"/>
      <c r="S226" s="34"/>
    </row>
    <row r="227" spans="1:19" ht="16.350000000000001" customHeight="1">
      <c r="A227" s="16">
        <v>226</v>
      </c>
      <c r="B227" s="134" t="s">
        <v>5071</v>
      </c>
      <c r="C227" s="134" t="s">
        <v>7675</v>
      </c>
      <c r="D227" s="135">
        <v>9781522583967</v>
      </c>
      <c r="E227" s="135">
        <v>9781522583950</v>
      </c>
      <c r="F227" s="136" t="s">
        <v>8128</v>
      </c>
      <c r="G227" s="133">
        <v>1</v>
      </c>
      <c r="H227" s="134" t="s">
        <v>6518</v>
      </c>
      <c r="I227" s="134" t="s">
        <v>8129</v>
      </c>
      <c r="J227" s="134" t="s">
        <v>568</v>
      </c>
      <c r="K227" s="133">
        <v>2019</v>
      </c>
      <c r="L227" s="137" t="s">
        <v>7499</v>
      </c>
      <c r="M227" s="139"/>
      <c r="N227" s="147" t="s">
        <v>8130</v>
      </c>
      <c r="O227" s="34"/>
      <c r="P227" s="34"/>
      <c r="Q227" s="34"/>
      <c r="R227" s="34"/>
      <c r="S227" s="34"/>
    </row>
    <row r="228" spans="1:19" ht="16.350000000000001" customHeight="1">
      <c r="A228" s="16">
        <v>227</v>
      </c>
      <c r="B228" s="134" t="s">
        <v>5071</v>
      </c>
      <c r="C228" s="134" t="s">
        <v>7675</v>
      </c>
      <c r="D228" s="135">
        <v>9781522584957</v>
      </c>
      <c r="E228" s="135">
        <v>9781522584940</v>
      </c>
      <c r="F228" s="136" t="s">
        <v>8131</v>
      </c>
      <c r="G228" s="133">
        <v>1</v>
      </c>
      <c r="H228" s="134" t="s">
        <v>6518</v>
      </c>
      <c r="I228" s="134" t="s">
        <v>7860</v>
      </c>
      <c r="J228" s="134" t="s">
        <v>568</v>
      </c>
      <c r="K228" s="133">
        <v>2019</v>
      </c>
      <c r="L228" s="137" t="s">
        <v>7499</v>
      </c>
      <c r="M228" s="139"/>
      <c r="N228" s="147" t="s">
        <v>8132</v>
      </c>
      <c r="O228" s="34"/>
      <c r="P228" s="34"/>
      <c r="Q228" s="34"/>
      <c r="R228" s="34"/>
      <c r="S228" s="34"/>
    </row>
    <row r="229" spans="1:19" ht="16.350000000000001" customHeight="1">
      <c r="A229" s="16">
        <v>228</v>
      </c>
      <c r="B229" s="134" t="s">
        <v>5071</v>
      </c>
      <c r="C229" s="134" t="s">
        <v>7675</v>
      </c>
      <c r="D229" s="135">
        <v>9781522581260</v>
      </c>
      <c r="E229" s="135">
        <v>9781522581253</v>
      </c>
      <c r="F229" s="136" t="s">
        <v>8171</v>
      </c>
      <c r="G229" s="133">
        <v>1</v>
      </c>
      <c r="H229" s="134" t="s">
        <v>6518</v>
      </c>
      <c r="I229" s="134" t="s">
        <v>8172</v>
      </c>
      <c r="J229" s="134" t="s">
        <v>569</v>
      </c>
      <c r="K229" s="133">
        <v>2019</v>
      </c>
      <c r="L229" s="137" t="s">
        <v>7499</v>
      </c>
      <c r="M229" s="139"/>
      <c r="N229" s="147" t="s">
        <v>8173</v>
      </c>
      <c r="O229" s="34"/>
      <c r="P229" s="34"/>
      <c r="Q229" s="34"/>
      <c r="R229" s="34"/>
      <c r="S229" s="34"/>
    </row>
    <row r="230" spans="1:19" ht="16.350000000000001" customHeight="1">
      <c r="A230" s="16">
        <v>229</v>
      </c>
      <c r="B230" s="134" t="s">
        <v>5071</v>
      </c>
      <c r="C230" s="134" t="s">
        <v>7494</v>
      </c>
      <c r="D230" s="135">
        <v>9781466647701</v>
      </c>
      <c r="E230" s="135">
        <v>9781466647695</v>
      </c>
      <c r="F230" s="136" t="s">
        <v>7831</v>
      </c>
      <c r="G230" s="133">
        <v>1</v>
      </c>
      <c r="H230" s="134" t="s">
        <v>6518</v>
      </c>
      <c r="I230" s="134" t="s">
        <v>4766</v>
      </c>
      <c r="J230" s="134" t="s">
        <v>7832</v>
      </c>
      <c r="K230" s="133">
        <v>2014</v>
      </c>
      <c r="L230" s="137" t="s">
        <v>7499</v>
      </c>
      <c r="M230" s="139"/>
      <c r="N230" s="147" t="s">
        <v>7833</v>
      </c>
      <c r="O230" s="34"/>
      <c r="P230" s="34"/>
      <c r="Q230" s="34"/>
      <c r="R230" s="34"/>
      <c r="S230" s="34"/>
    </row>
    <row r="231" spans="1:19" ht="16.350000000000001" customHeight="1">
      <c r="A231" s="16">
        <v>230</v>
      </c>
      <c r="B231" s="134" t="s">
        <v>5071</v>
      </c>
      <c r="C231" s="134" t="s">
        <v>7494</v>
      </c>
      <c r="D231" s="135">
        <v>9781522531388</v>
      </c>
      <c r="E231" s="135">
        <v>9781522531371</v>
      </c>
      <c r="F231" s="136" t="s">
        <v>7885</v>
      </c>
      <c r="G231" s="133">
        <v>1</v>
      </c>
      <c r="H231" s="134" t="s">
        <v>6518</v>
      </c>
      <c r="I231" s="134" t="s">
        <v>7886</v>
      </c>
      <c r="J231" s="134" t="s">
        <v>569</v>
      </c>
      <c r="K231" s="133">
        <v>2018</v>
      </c>
      <c r="L231" s="137" t="s">
        <v>7499</v>
      </c>
      <c r="M231" s="139"/>
      <c r="N231" s="147" t="s">
        <v>7887</v>
      </c>
      <c r="O231" s="34"/>
      <c r="P231" s="34"/>
      <c r="Q231" s="34"/>
      <c r="R231" s="34"/>
      <c r="S231" s="34"/>
    </row>
    <row r="232" spans="1:19" ht="16.350000000000001" customHeight="1">
      <c r="A232" s="16">
        <v>231</v>
      </c>
      <c r="B232" s="134" t="s">
        <v>5071</v>
      </c>
      <c r="C232" s="134" t="s">
        <v>7494</v>
      </c>
      <c r="D232" s="135">
        <v>9781522578987</v>
      </c>
      <c r="E232" s="135">
        <v>9781522578970</v>
      </c>
      <c r="F232" s="136" t="s">
        <v>7971</v>
      </c>
      <c r="G232" s="133">
        <v>1</v>
      </c>
      <c r="H232" s="134" t="s">
        <v>6518</v>
      </c>
      <c r="I232" s="134" t="s">
        <v>7972</v>
      </c>
      <c r="J232" s="134" t="s">
        <v>569</v>
      </c>
      <c r="K232" s="133">
        <v>2019</v>
      </c>
      <c r="L232" s="137" t="s">
        <v>7499</v>
      </c>
      <c r="M232" s="139"/>
      <c r="N232" s="147" t="s">
        <v>7973</v>
      </c>
      <c r="O232" s="34"/>
      <c r="P232" s="34"/>
      <c r="Q232" s="34"/>
      <c r="R232" s="34"/>
      <c r="S232" s="34"/>
    </row>
    <row r="233" spans="1:19" ht="16.350000000000001" customHeight="1">
      <c r="A233" s="16">
        <v>232</v>
      </c>
      <c r="B233" s="134" t="s">
        <v>5071</v>
      </c>
      <c r="C233" s="134" t="s">
        <v>7494</v>
      </c>
      <c r="D233" s="135">
        <v>9781522570783</v>
      </c>
      <c r="E233" s="135">
        <v>9781522570776</v>
      </c>
      <c r="F233" s="136" t="s">
        <v>7986</v>
      </c>
      <c r="G233" s="133">
        <v>1</v>
      </c>
      <c r="H233" s="134" t="s">
        <v>6518</v>
      </c>
      <c r="I233" s="134" t="s">
        <v>7987</v>
      </c>
      <c r="J233" s="134" t="s">
        <v>569</v>
      </c>
      <c r="K233" s="133">
        <v>2019</v>
      </c>
      <c r="L233" s="137" t="s">
        <v>7499</v>
      </c>
      <c r="M233" s="139"/>
      <c r="N233" s="147" t="s">
        <v>7988</v>
      </c>
      <c r="O233" s="34"/>
      <c r="P233" s="34"/>
      <c r="Q233" s="34"/>
      <c r="R233" s="34"/>
      <c r="S233" s="34"/>
    </row>
    <row r="234" spans="1:19" ht="16.350000000000001" customHeight="1">
      <c r="A234" s="16">
        <v>233</v>
      </c>
      <c r="B234" s="134" t="s">
        <v>5071</v>
      </c>
      <c r="C234" s="134" t="s">
        <v>7494</v>
      </c>
      <c r="D234" s="135">
        <v>9781522571261</v>
      </c>
      <c r="E234" s="135">
        <v>9781522571254</v>
      </c>
      <c r="F234" s="136" t="s">
        <v>8068</v>
      </c>
      <c r="G234" s="133">
        <v>1</v>
      </c>
      <c r="H234" s="134" t="s">
        <v>6518</v>
      </c>
      <c r="I234" s="134" t="s">
        <v>8069</v>
      </c>
      <c r="J234" s="134" t="s">
        <v>569</v>
      </c>
      <c r="K234" s="133">
        <v>2019</v>
      </c>
      <c r="L234" s="137" t="s">
        <v>7499</v>
      </c>
      <c r="M234" s="139"/>
      <c r="N234" s="147" t="s">
        <v>8070</v>
      </c>
      <c r="O234" s="34"/>
      <c r="P234" s="34"/>
      <c r="Q234" s="34"/>
      <c r="R234" s="34"/>
      <c r="S234" s="34"/>
    </row>
    <row r="235" spans="1:19" ht="16.350000000000001" customHeight="1">
      <c r="A235" s="16">
        <v>234</v>
      </c>
      <c r="B235" s="134" t="s">
        <v>5071</v>
      </c>
      <c r="C235" s="134" t="s">
        <v>7494</v>
      </c>
      <c r="D235" s="135">
        <v>9781522542018</v>
      </c>
      <c r="E235" s="135">
        <v>9781522542001</v>
      </c>
      <c r="F235" s="136" t="s">
        <v>8071</v>
      </c>
      <c r="G235" s="133">
        <v>1</v>
      </c>
      <c r="H235" s="134" t="s">
        <v>6518</v>
      </c>
      <c r="I235" s="134" t="s">
        <v>8072</v>
      </c>
      <c r="J235" s="134" t="s">
        <v>568</v>
      </c>
      <c r="K235" s="133">
        <v>2019</v>
      </c>
      <c r="L235" s="137" t="s">
        <v>7499</v>
      </c>
      <c r="M235" s="139"/>
      <c r="N235" s="147" t="s">
        <v>8073</v>
      </c>
      <c r="O235" s="34"/>
      <c r="P235" s="34"/>
      <c r="Q235" s="34"/>
      <c r="R235" s="34"/>
      <c r="S235" s="34"/>
    </row>
    <row r="236" spans="1:19" ht="16.350000000000001" customHeight="1">
      <c r="A236" s="16">
        <v>235</v>
      </c>
      <c r="B236" s="134" t="s">
        <v>5071</v>
      </c>
      <c r="C236" s="134" t="s">
        <v>7494</v>
      </c>
      <c r="D236" s="135">
        <v>9781522559313</v>
      </c>
      <c r="E236" s="135">
        <v>9781522559306</v>
      </c>
      <c r="F236" s="136" t="s">
        <v>8111</v>
      </c>
      <c r="G236" s="133">
        <v>1</v>
      </c>
      <c r="H236" s="134" t="s">
        <v>6518</v>
      </c>
      <c r="I236" s="134" t="s">
        <v>8112</v>
      </c>
      <c r="J236" s="134" t="s">
        <v>568</v>
      </c>
      <c r="K236" s="133">
        <v>2019</v>
      </c>
      <c r="L236" s="137" t="s">
        <v>7499</v>
      </c>
      <c r="M236" s="139"/>
      <c r="N236" s="147" t="s">
        <v>8113</v>
      </c>
      <c r="O236" s="34"/>
      <c r="P236" s="34"/>
      <c r="Q236" s="34"/>
      <c r="R236" s="34"/>
      <c r="S236" s="34"/>
    </row>
    <row r="237" spans="1:19" ht="16.350000000000001" customHeight="1">
      <c r="A237" s="16">
        <v>236</v>
      </c>
      <c r="B237" s="134" t="s">
        <v>5071</v>
      </c>
      <c r="C237" s="134" t="s">
        <v>7494</v>
      </c>
      <c r="D237" s="135">
        <v>9781522584384</v>
      </c>
      <c r="E237" s="135">
        <v>9781522584377</v>
      </c>
      <c r="F237" s="136" t="s">
        <v>8159</v>
      </c>
      <c r="G237" s="133">
        <v>1</v>
      </c>
      <c r="H237" s="134" t="s">
        <v>6518</v>
      </c>
      <c r="I237" s="134" t="s">
        <v>6823</v>
      </c>
      <c r="J237" s="134" t="s">
        <v>569</v>
      </c>
      <c r="K237" s="133">
        <v>2019</v>
      </c>
      <c r="L237" s="137" t="s">
        <v>7499</v>
      </c>
      <c r="M237" s="139"/>
      <c r="N237" s="147" t="s">
        <v>8160</v>
      </c>
      <c r="O237" s="34"/>
      <c r="P237" s="34"/>
      <c r="Q237" s="34"/>
      <c r="R237" s="34"/>
      <c r="S237" s="34"/>
    </row>
    <row r="238" spans="1:19" ht="16.350000000000001" customHeight="1">
      <c r="A238" s="16">
        <v>237</v>
      </c>
      <c r="B238" s="134" t="s">
        <v>571</v>
      </c>
      <c r="C238" s="134" t="s">
        <v>8468</v>
      </c>
      <c r="D238" s="135">
        <v>9781522573036</v>
      </c>
      <c r="E238" s="135">
        <v>9781522573029</v>
      </c>
      <c r="F238" s="136" t="s">
        <v>8469</v>
      </c>
      <c r="G238" s="133">
        <v>1</v>
      </c>
      <c r="H238" s="134" t="s">
        <v>6518</v>
      </c>
      <c r="I238" s="134" t="s">
        <v>8470</v>
      </c>
      <c r="J238" s="134" t="s">
        <v>569</v>
      </c>
      <c r="K238" s="133">
        <v>2019</v>
      </c>
      <c r="L238" s="137" t="s">
        <v>7499</v>
      </c>
      <c r="M238" s="139"/>
      <c r="N238" s="147" t="s">
        <v>8471</v>
      </c>
      <c r="O238" s="34"/>
      <c r="P238" s="34"/>
      <c r="Q238" s="34"/>
      <c r="R238" s="34"/>
      <c r="S238" s="34"/>
    </row>
    <row r="239" spans="1:19" ht="16.350000000000001" customHeight="1">
      <c r="A239" s="23">
        <v>238</v>
      </c>
      <c r="B239" s="153" t="s">
        <v>571</v>
      </c>
      <c r="C239" s="153" t="s">
        <v>8468</v>
      </c>
      <c r="D239" s="154">
        <v>9781522577072</v>
      </c>
      <c r="E239" s="154">
        <v>9781522577065</v>
      </c>
      <c r="F239" s="155" t="s">
        <v>8472</v>
      </c>
      <c r="G239" s="156">
        <v>1</v>
      </c>
      <c r="H239" s="153" t="s">
        <v>6518</v>
      </c>
      <c r="I239" s="153" t="s">
        <v>8473</v>
      </c>
      <c r="J239" s="153" t="s">
        <v>1233</v>
      </c>
      <c r="K239" s="156">
        <v>2019</v>
      </c>
      <c r="L239" s="157" t="s">
        <v>7499</v>
      </c>
      <c r="M239" s="158"/>
      <c r="N239" s="159" t="s">
        <v>8474</v>
      </c>
      <c r="O239" s="34"/>
      <c r="P239" s="34"/>
      <c r="Q239" s="34"/>
      <c r="R239" s="34"/>
      <c r="S239" s="34"/>
    </row>
    <row r="240" spans="1:19" ht="16.350000000000001" customHeight="1">
      <c r="E240" s="141"/>
      <c r="F240" s="142"/>
      <c r="H240" s="36"/>
      <c r="J240" s="140"/>
      <c r="L240" s="34"/>
      <c r="O240" s="34"/>
      <c r="P240" s="34"/>
      <c r="Q240" s="34"/>
      <c r="R240" s="34"/>
      <c r="S240" s="34"/>
    </row>
    <row r="241" spans="5:19" ht="16.350000000000001" customHeight="1">
      <c r="E241" s="141"/>
      <c r="F241" s="144"/>
      <c r="H241" s="36"/>
      <c r="J241" s="140"/>
      <c r="L241" s="34"/>
      <c r="O241" s="34"/>
      <c r="P241" s="34"/>
      <c r="Q241" s="34"/>
      <c r="R241" s="34"/>
      <c r="S241" s="34"/>
    </row>
  </sheetData>
  <sortState xmlns:xlrd2="http://schemas.microsoft.com/office/spreadsheetml/2017/richdata2" ref="A2:S241">
    <sortCondition ref="C2:C241"/>
  </sortState>
  <phoneticPr fontId="3" type="noConversion"/>
  <conditionalFormatting sqref="D2:D239">
    <cfRule type="expression" dxfId="58" priority="1" stopIfTrue="1">
      <formula>AND(COUNTIF($D$2:$D$239, D2)&gt;1,NOT(ISBLANK(D2)))</formula>
    </cfRule>
  </conditionalFormatting>
  <conditionalFormatting sqref="E2:E239">
    <cfRule type="expression" dxfId="57" priority="2" stopIfTrue="1">
      <formula>AND(COUNTIF($E$2:$E$239, E2)&gt;1,NOT(ISBLANK(E2)))</formula>
    </cfRule>
  </conditionalFormatting>
  <hyperlinks>
    <hyperlink ref="N188" r:id="rId1" xr:uid="{00000000-0004-0000-0800-000000000000}"/>
    <hyperlink ref="N230" r:id="rId2" xr:uid="{00000000-0004-0000-0800-000001000000}"/>
    <hyperlink ref="N209" r:id="rId3" xr:uid="{00000000-0004-0000-0800-000002000000}"/>
    <hyperlink ref="N114" r:id="rId4" xr:uid="{00000000-0004-0000-0800-000003000000}"/>
    <hyperlink ref="N115" r:id="rId5" xr:uid="{00000000-0004-0000-0800-000004000000}"/>
    <hyperlink ref="N116" r:id="rId6" xr:uid="{00000000-0004-0000-0800-000005000000}"/>
    <hyperlink ref="N117" r:id="rId7" xr:uid="{00000000-0004-0000-0800-000006000000}"/>
    <hyperlink ref="N210" r:id="rId8" xr:uid="{00000000-0004-0000-0800-000007000000}"/>
    <hyperlink ref="N148" r:id="rId9" xr:uid="{00000000-0004-0000-0800-000008000000}"/>
    <hyperlink ref="N211" r:id="rId10" xr:uid="{00000000-0004-0000-0800-000009000000}"/>
    <hyperlink ref="N182" r:id="rId11" xr:uid="{00000000-0004-0000-0800-00000A000000}"/>
    <hyperlink ref="N223" r:id="rId12" xr:uid="{00000000-0004-0000-0800-00000B000000}"/>
    <hyperlink ref="N149" r:id="rId13" xr:uid="{00000000-0004-0000-0800-00000C000000}"/>
    <hyperlink ref="N118" r:id="rId14" xr:uid="{00000000-0004-0000-0800-00000D000000}"/>
    <hyperlink ref="N119" r:id="rId15" xr:uid="{00000000-0004-0000-0800-00000E000000}"/>
    <hyperlink ref="N120" r:id="rId16" xr:uid="{00000000-0004-0000-0800-00000F000000}"/>
    <hyperlink ref="N113" r:id="rId17" xr:uid="{00000000-0004-0000-0800-000010000000}"/>
    <hyperlink ref="N121" r:id="rId18" xr:uid="{00000000-0004-0000-0800-000011000000}"/>
    <hyperlink ref="N122" r:id="rId19" xr:uid="{00000000-0004-0000-0800-000012000000}"/>
    <hyperlink ref="N212" r:id="rId20" xr:uid="{00000000-0004-0000-0800-000013000000}"/>
    <hyperlink ref="N231" r:id="rId21" xr:uid="{00000000-0004-0000-0800-000014000000}"/>
    <hyperlink ref="N150" r:id="rId22" xr:uid="{00000000-0004-0000-0800-000015000000}"/>
    <hyperlink ref="N123" r:id="rId23" xr:uid="{00000000-0004-0000-0800-000016000000}"/>
    <hyperlink ref="N124" r:id="rId24" xr:uid="{00000000-0004-0000-0800-000017000000}"/>
    <hyperlink ref="N189" r:id="rId25" xr:uid="{00000000-0004-0000-0800-000018000000}"/>
    <hyperlink ref="N172" r:id="rId26" xr:uid="{00000000-0004-0000-0800-000019000000}"/>
    <hyperlink ref="N190" r:id="rId27" xr:uid="{00000000-0004-0000-0800-00001A000000}"/>
    <hyperlink ref="N125" r:id="rId28" xr:uid="{00000000-0004-0000-0800-00001B000000}"/>
    <hyperlink ref="N126" r:id="rId29" xr:uid="{00000000-0004-0000-0800-00001C000000}"/>
    <hyperlink ref="N173" r:id="rId30" xr:uid="{00000000-0004-0000-0800-00001D000000}"/>
    <hyperlink ref="N183" r:id="rId31" xr:uid="{00000000-0004-0000-0800-00001E000000}"/>
    <hyperlink ref="N191" r:id="rId32" xr:uid="{00000000-0004-0000-0800-00001F000000}"/>
    <hyperlink ref="N127" r:id="rId33" xr:uid="{00000000-0004-0000-0800-000020000000}"/>
    <hyperlink ref="N110" r:id="rId34" xr:uid="{00000000-0004-0000-0800-000021000000}"/>
    <hyperlink ref="N163" r:id="rId35" xr:uid="{00000000-0004-0000-0800-000022000000}"/>
    <hyperlink ref="N128" r:id="rId36" xr:uid="{00000000-0004-0000-0800-000023000000}"/>
    <hyperlink ref="N164" r:id="rId37" xr:uid="{00000000-0004-0000-0800-000024000000}"/>
    <hyperlink ref="N184" r:id="rId38" xr:uid="{00000000-0004-0000-0800-000025000000}"/>
    <hyperlink ref="N192" r:id="rId39" xr:uid="{00000000-0004-0000-0800-000026000000}"/>
    <hyperlink ref="N185" r:id="rId40" xr:uid="{00000000-0004-0000-0800-000027000000}"/>
    <hyperlink ref="N186" r:id="rId41" xr:uid="{00000000-0004-0000-0800-000028000000}"/>
    <hyperlink ref="N151" r:id="rId42" xr:uid="{00000000-0004-0000-0800-000029000000}"/>
    <hyperlink ref="N174" r:id="rId43" xr:uid="{00000000-0004-0000-0800-00002A000000}"/>
    <hyperlink ref="N129" r:id="rId44" xr:uid="{00000000-0004-0000-0800-00002B000000}"/>
    <hyperlink ref="N130" r:id="rId45" xr:uid="{00000000-0004-0000-0800-00002C000000}"/>
    <hyperlink ref="N193" r:id="rId46" xr:uid="{00000000-0004-0000-0800-00002D000000}"/>
    <hyperlink ref="N155" r:id="rId47" xr:uid="{00000000-0004-0000-0800-00002E000000}"/>
    <hyperlink ref="N194" r:id="rId48" xr:uid="{00000000-0004-0000-0800-00002F000000}"/>
    <hyperlink ref="N195" r:id="rId49" xr:uid="{00000000-0004-0000-0800-000030000000}"/>
    <hyperlink ref="N232" r:id="rId50" xr:uid="{00000000-0004-0000-0800-000031000000}"/>
    <hyperlink ref="N196" r:id="rId51" xr:uid="{00000000-0004-0000-0800-000032000000}"/>
    <hyperlink ref="N197" r:id="rId52" xr:uid="{00000000-0004-0000-0800-000033000000}"/>
    <hyperlink ref="N156" r:id="rId53" xr:uid="{00000000-0004-0000-0800-000034000000}"/>
    <hyperlink ref="N198" r:id="rId54" xr:uid="{00000000-0004-0000-0800-000035000000}"/>
    <hyperlink ref="N233" r:id="rId55" xr:uid="{00000000-0004-0000-0800-000036000000}"/>
    <hyperlink ref="N199" r:id="rId56" xr:uid="{00000000-0004-0000-0800-000037000000}"/>
    <hyperlink ref="N213" r:id="rId57" xr:uid="{00000000-0004-0000-0800-000038000000}"/>
    <hyperlink ref="N112" r:id="rId58" xr:uid="{00000000-0004-0000-0800-000039000000}"/>
    <hyperlink ref="N165" r:id="rId59" xr:uid="{00000000-0004-0000-0800-00003A000000}"/>
    <hyperlink ref="N175" r:id="rId60" xr:uid="{00000000-0004-0000-0800-00003B000000}"/>
    <hyperlink ref="N152" r:id="rId61" xr:uid="{00000000-0004-0000-0800-00003C000000}"/>
    <hyperlink ref="N200" r:id="rId62" xr:uid="{00000000-0004-0000-0800-00003D000000}"/>
    <hyperlink ref="N166" r:id="rId63" xr:uid="{00000000-0004-0000-0800-00003E000000}"/>
    <hyperlink ref="N111" r:id="rId64" xr:uid="{00000000-0004-0000-0800-00003F000000}"/>
    <hyperlink ref="N131" r:id="rId65" xr:uid="{00000000-0004-0000-0800-000040000000}"/>
    <hyperlink ref="N176" r:id="rId66" xr:uid="{00000000-0004-0000-0800-000041000000}"/>
    <hyperlink ref="N132" r:id="rId67" xr:uid="{00000000-0004-0000-0800-000042000000}"/>
    <hyperlink ref="N157" r:id="rId68" xr:uid="{00000000-0004-0000-0800-000043000000}"/>
    <hyperlink ref="N133" r:id="rId69" xr:uid="{00000000-0004-0000-0800-000044000000}"/>
    <hyperlink ref="N158" r:id="rId70" xr:uid="{00000000-0004-0000-0800-000045000000}"/>
    <hyperlink ref="N134" r:id="rId71" xr:uid="{00000000-0004-0000-0800-000046000000}"/>
    <hyperlink ref="N167" r:id="rId72" xr:uid="{00000000-0004-0000-0800-000047000000}"/>
    <hyperlink ref="N201" r:id="rId73" xr:uid="{00000000-0004-0000-0800-000048000000}"/>
    <hyperlink ref="N214" r:id="rId74" xr:uid="{00000000-0004-0000-0800-000049000000}"/>
    <hyperlink ref="N224" r:id="rId75" xr:uid="{00000000-0004-0000-0800-00004A000000}"/>
    <hyperlink ref="N180" r:id="rId76" xr:uid="{00000000-0004-0000-0800-00004B000000}"/>
    <hyperlink ref="N202" r:id="rId77" xr:uid="{00000000-0004-0000-0800-00004C000000}"/>
    <hyperlink ref="N168" r:id="rId78" xr:uid="{00000000-0004-0000-0800-00004D000000}"/>
    <hyperlink ref="N169" r:id="rId79" xr:uid="{00000000-0004-0000-0800-00004E000000}"/>
    <hyperlink ref="N159" r:id="rId80" xr:uid="{00000000-0004-0000-0800-00004F000000}"/>
    <hyperlink ref="N160" r:id="rId81" xr:uid="{00000000-0004-0000-0800-000050000000}"/>
    <hyperlink ref="N170" r:id="rId82" xr:uid="{00000000-0004-0000-0800-000051000000}"/>
    <hyperlink ref="N203" r:id="rId83" xr:uid="{00000000-0004-0000-0800-000052000000}"/>
    <hyperlink ref="N234" r:id="rId84" xr:uid="{00000000-0004-0000-0800-000053000000}"/>
    <hyperlink ref="N235" r:id="rId85" xr:uid="{00000000-0004-0000-0800-000054000000}"/>
    <hyperlink ref="N225" r:id="rId86" xr:uid="{00000000-0004-0000-0800-000055000000}"/>
    <hyperlink ref="N204" r:id="rId87" xr:uid="{00000000-0004-0000-0800-000056000000}"/>
    <hyperlink ref="N135" r:id="rId88" xr:uid="{00000000-0004-0000-0800-000057000000}"/>
    <hyperlink ref="N161" r:id="rId89" xr:uid="{00000000-0004-0000-0800-000058000000}"/>
    <hyperlink ref="N136" r:id="rId90" xr:uid="{00000000-0004-0000-0800-000059000000}"/>
    <hyperlink ref="N215" r:id="rId91" xr:uid="{00000000-0004-0000-0800-00005A000000}"/>
    <hyperlink ref="N171" r:id="rId92" xr:uid="{00000000-0004-0000-0800-00005B000000}"/>
    <hyperlink ref="N137" r:id="rId93" xr:uid="{00000000-0004-0000-0800-00005C000000}"/>
    <hyperlink ref="N177" r:id="rId94" xr:uid="{00000000-0004-0000-0800-00005D000000}"/>
    <hyperlink ref="N205" r:id="rId95" xr:uid="{00000000-0004-0000-0800-00005E000000}"/>
    <hyperlink ref="N206" r:id="rId96" xr:uid="{00000000-0004-0000-0800-00005F000000}"/>
    <hyperlink ref="N162" r:id="rId97" xr:uid="{00000000-0004-0000-0800-000060000000}"/>
    <hyperlink ref="N138" r:id="rId98" xr:uid="{00000000-0004-0000-0800-000061000000}"/>
    <hyperlink ref="N216" r:id="rId99" xr:uid="{00000000-0004-0000-0800-000062000000}"/>
    <hyperlink ref="N236" r:id="rId100" xr:uid="{00000000-0004-0000-0800-000063000000}"/>
    <hyperlink ref="N187" r:id="rId101" xr:uid="{00000000-0004-0000-0800-000064000000}"/>
    <hyperlink ref="N226" r:id="rId102" xr:uid="{00000000-0004-0000-0800-000065000000}"/>
    <hyperlink ref="N217" r:id="rId103" xr:uid="{00000000-0004-0000-0800-000066000000}"/>
    <hyperlink ref="N218" r:id="rId104" xr:uid="{00000000-0004-0000-0800-000067000000}"/>
    <hyperlink ref="N219" r:id="rId105" xr:uid="{00000000-0004-0000-0800-000068000000}"/>
    <hyperlink ref="N227" r:id="rId106" xr:uid="{00000000-0004-0000-0800-000069000000}"/>
    <hyperlink ref="N228" r:id="rId107" xr:uid="{00000000-0004-0000-0800-00006A000000}"/>
    <hyperlink ref="N207" r:id="rId108" xr:uid="{00000000-0004-0000-0800-00006B000000}"/>
    <hyperlink ref="N220" r:id="rId109" xr:uid="{00000000-0004-0000-0800-00006C000000}"/>
    <hyperlink ref="N139" r:id="rId110" xr:uid="{00000000-0004-0000-0800-00006D000000}"/>
    <hyperlink ref="N140" r:id="rId111" xr:uid="{00000000-0004-0000-0800-00006E000000}"/>
    <hyperlink ref="N141" r:id="rId112" xr:uid="{00000000-0004-0000-0800-00006F000000}"/>
    <hyperlink ref="N179" r:id="rId113" xr:uid="{00000000-0004-0000-0800-000070000000}"/>
    <hyperlink ref="N181" r:id="rId114" xr:uid="{00000000-0004-0000-0800-000071000000}"/>
    <hyperlink ref="N208" r:id="rId115" xr:uid="{00000000-0004-0000-0800-000072000000}"/>
    <hyperlink ref="N153" r:id="rId116" xr:uid="{00000000-0004-0000-0800-000073000000}"/>
    <hyperlink ref="N237" r:id="rId117" xr:uid="{00000000-0004-0000-0800-000074000000}"/>
    <hyperlink ref="N178" r:id="rId118" xr:uid="{00000000-0004-0000-0800-000075000000}"/>
    <hyperlink ref="N147" r:id="rId119" xr:uid="{00000000-0004-0000-0800-000076000000}"/>
    <hyperlink ref="N154" r:id="rId120" xr:uid="{00000000-0004-0000-0800-000077000000}"/>
    <hyperlink ref="N229" r:id="rId121" xr:uid="{00000000-0004-0000-0800-000078000000}"/>
    <hyperlink ref="N144" r:id="rId122" xr:uid="{00000000-0004-0000-0800-000079000000}"/>
    <hyperlink ref="N145" r:id="rId123" xr:uid="{00000000-0004-0000-0800-00007A000000}"/>
    <hyperlink ref="N221" r:id="rId124" xr:uid="{00000000-0004-0000-0800-00007B000000}"/>
    <hyperlink ref="N146" r:id="rId125" xr:uid="{00000000-0004-0000-0800-00007C000000}"/>
    <hyperlink ref="N142" r:id="rId126" xr:uid="{00000000-0004-0000-0800-00007D000000}"/>
    <hyperlink ref="N222" r:id="rId127" xr:uid="{00000000-0004-0000-0800-00007E000000}"/>
    <hyperlink ref="N143" r:id="rId128" xr:uid="{00000000-0004-0000-0800-00007F000000}"/>
    <hyperlink ref="N8" r:id="rId129" xr:uid="{00000000-0004-0000-0800-000080000000}"/>
    <hyperlink ref="N9" r:id="rId130" xr:uid="{00000000-0004-0000-0800-000081000000}"/>
    <hyperlink ref="N10" r:id="rId131" xr:uid="{00000000-0004-0000-0800-000082000000}"/>
    <hyperlink ref="N20" r:id="rId132" xr:uid="{00000000-0004-0000-0800-000083000000}"/>
    <hyperlink ref="N16" r:id="rId133" xr:uid="{00000000-0004-0000-0800-000084000000}"/>
    <hyperlink ref="N6" r:id="rId134" xr:uid="{00000000-0004-0000-0800-000085000000}"/>
    <hyperlink ref="N17" r:id="rId135" xr:uid="{00000000-0004-0000-0800-000086000000}"/>
    <hyperlink ref="N11" r:id="rId136" xr:uid="{00000000-0004-0000-0800-000087000000}"/>
    <hyperlink ref="N18" r:id="rId137" xr:uid="{00000000-0004-0000-0800-000088000000}"/>
    <hyperlink ref="N12" r:id="rId138" xr:uid="{00000000-0004-0000-0800-000089000000}"/>
    <hyperlink ref="N2" r:id="rId139" xr:uid="{00000000-0004-0000-0800-00008A000000}"/>
    <hyperlink ref="N3" r:id="rId140" xr:uid="{00000000-0004-0000-0800-00008B000000}"/>
    <hyperlink ref="N13" r:id="rId141" xr:uid="{00000000-0004-0000-0800-00008C000000}"/>
    <hyperlink ref="N19" r:id="rId142" xr:uid="{00000000-0004-0000-0800-00008D000000}"/>
    <hyperlink ref="N4" r:id="rId143" xr:uid="{00000000-0004-0000-0800-00008E000000}"/>
    <hyperlink ref="N14" r:id="rId144" xr:uid="{00000000-0004-0000-0800-00008F000000}"/>
    <hyperlink ref="N15" r:id="rId145" xr:uid="{00000000-0004-0000-0800-000090000000}"/>
    <hyperlink ref="N5" r:id="rId146" xr:uid="{00000000-0004-0000-0800-000091000000}"/>
    <hyperlink ref="N7" r:id="rId147" xr:uid="{00000000-0004-0000-0800-000092000000}"/>
    <hyperlink ref="N27" r:id="rId148" xr:uid="{00000000-0004-0000-0800-000093000000}"/>
    <hyperlink ref="N28" r:id="rId149" xr:uid="{00000000-0004-0000-0800-000094000000}"/>
    <hyperlink ref="N29" r:id="rId150" xr:uid="{00000000-0004-0000-0800-000095000000}"/>
    <hyperlink ref="N30" r:id="rId151" xr:uid="{00000000-0004-0000-0800-000096000000}"/>
    <hyperlink ref="N31" r:id="rId152" xr:uid="{00000000-0004-0000-0800-000097000000}"/>
    <hyperlink ref="N32" r:id="rId153" xr:uid="{00000000-0004-0000-0800-000098000000}"/>
    <hyperlink ref="N33" r:id="rId154" xr:uid="{00000000-0004-0000-0800-000099000000}"/>
    <hyperlink ref="N34" r:id="rId155" xr:uid="{00000000-0004-0000-0800-00009A000000}"/>
    <hyperlink ref="N35" r:id="rId156" xr:uid="{00000000-0004-0000-0800-00009B000000}"/>
    <hyperlink ref="N107" r:id="rId157" xr:uid="{00000000-0004-0000-0800-00009C000000}"/>
    <hyperlink ref="N36" r:id="rId158" xr:uid="{00000000-0004-0000-0800-00009D000000}"/>
    <hyperlink ref="N87" r:id="rId159" xr:uid="{00000000-0004-0000-0800-00009E000000}"/>
    <hyperlink ref="N23" r:id="rId160" xr:uid="{00000000-0004-0000-0800-00009F000000}"/>
    <hyperlink ref="N37" r:id="rId161" xr:uid="{00000000-0004-0000-0800-0000A0000000}"/>
    <hyperlink ref="N38" r:id="rId162" xr:uid="{00000000-0004-0000-0800-0000A1000000}"/>
    <hyperlink ref="N39" r:id="rId163" xr:uid="{00000000-0004-0000-0800-0000A2000000}"/>
    <hyperlink ref="N40" r:id="rId164" xr:uid="{00000000-0004-0000-0800-0000A3000000}"/>
    <hyperlink ref="N41" r:id="rId165" xr:uid="{00000000-0004-0000-0800-0000A4000000}"/>
    <hyperlink ref="N42" r:id="rId166" xr:uid="{00000000-0004-0000-0800-0000A5000000}"/>
    <hyperlink ref="N105" r:id="rId167" xr:uid="{00000000-0004-0000-0800-0000A6000000}"/>
    <hyperlink ref="N43" r:id="rId168" xr:uid="{00000000-0004-0000-0800-0000A7000000}"/>
    <hyperlink ref="N21" r:id="rId169" xr:uid="{00000000-0004-0000-0800-0000A8000000}"/>
    <hyperlink ref="N44" r:id="rId170" xr:uid="{00000000-0004-0000-0800-0000A9000000}"/>
    <hyperlink ref="N88" r:id="rId171" xr:uid="{00000000-0004-0000-0800-0000AA000000}"/>
    <hyperlink ref="N45" r:id="rId172" xr:uid="{00000000-0004-0000-0800-0000AB000000}"/>
    <hyperlink ref="N46" r:id="rId173" xr:uid="{00000000-0004-0000-0800-0000AC000000}"/>
    <hyperlink ref="N47" r:id="rId174" xr:uid="{00000000-0004-0000-0800-0000AD000000}"/>
    <hyperlink ref="N22" r:id="rId175" xr:uid="{00000000-0004-0000-0800-0000AE000000}"/>
    <hyperlink ref="N48" r:id="rId176" xr:uid="{00000000-0004-0000-0800-0000AF000000}"/>
    <hyperlink ref="N49" r:id="rId177" xr:uid="{00000000-0004-0000-0800-0000B0000000}"/>
    <hyperlink ref="N24" r:id="rId178" xr:uid="{00000000-0004-0000-0800-0000B1000000}"/>
    <hyperlink ref="N50" r:id="rId179" xr:uid="{00000000-0004-0000-0800-0000B2000000}"/>
    <hyperlink ref="N92" r:id="rId180" xr:uid="{00000000-0004-0000-0800-0000B3000000}"/>
    <hyperlink ref="N51" r:id="rId181" xr:uid="{00000000-0004-0000-0800-0000B4000000}"/>
    <hyperlink ref="N106" r:id="rId182" xr:uid="{00000000-0004-0000-0800-0000B5000000}"/>
    <hyperlink ref="N52" r:id="rId183" xr:uid="{00000000-0004-0000-0800-0000B6000000}"/>
    <hyperlink ref="N89" r:id="rId184" xr:uid="{00000000-0004-0000-0800-0000B7000000}"/>
    <hyperlink ref="N53" r:id="rId185" xr:uid="{00000000-0004-0000-0800-0000B8000000}"/>
    <hyperlink ref="N90" r:id="rId186" xr:uid="{00000000-0004-0000-0800-0000B9000000}"/>
    <hyperlink ref="N54" r:id="rId187" xr:uid="{00000000-0004-0000-0800-0000BA000000}"/>
    <hyperlink ref="N55" r:id="rId188" xr:uid="{00000000-0004-0000-0800-0000BB000000}"/>
    <hyperlink ref="N56" r:id="rId189" xr:uid="{00000000-0004-0000-0800-0000BC000000}"/>
    <hyperlink ref="N101" r:id="rId190" xr:uid="{00000000-0004-0000-0800-0000BD000000}"/>
    <hyperlink ref="N57" r:id="rId191" xr:uid="{00000000-0004-0000-0800-0000BE000000}"/>
    <hyperlink ref="N58" r:id="rId192" xr:uid="{00000000-0004-0000-0800-0000BF000000}"/>
    <hyperlink ref="N59" r:id="rId193" xr:uid="{00000000-0004-0000-0800-0000C0000000}"/>
    <hyperlink ref="N91" r:id="rId194" xr:uid="{00000000-0004-0000-0800-0000C1000000}"/>
    <hyperlink ref="N60" r:id="rId195" xr:uid="{00000000-0004-0000-0800-0000C2000000}"/>
    <hyperlink ref="N102" r:id="rId196" xr:uid="{00000000-0004-0000-0800-0000C3000000}"/>
    <hyperlink ref="N103" r:id="rId197" xr:uid="{00000000-0004-0000-0800-0000C4000000}"/>
    <hyperlink ref="N109" r:id="rId198" xr:uid="{00000000-0004-0000-0800-0000C5000000}"/>
    <hyperlink ref="N61" r:id="rId199" xr:uid="{00000000-0004-0000-0800-0000C6000000}"/>
    <hyperlink ref="N62" r:id="rId200" xr:uid="{00000000-0004-0000-0800-0000C7000000}"/>
    <hyperlink ref="N63" r:id="rId201" xr:uid="{00000000-0004-0000-0800-0000C8000000}"/>
    <hyperlink ref="N64" r:id="rId202" xr:uid="{00000000-0004-0000-0800-0000C9000000}"/>
    <hyperlink ref="N94" r:id="rId203" xr:uid="{00000000-0004-0000-0800-0000CA000000}"/>
    <hyperlink ref="N95" r:id="rId204" xr:uid="{00000000-0004-0000-0800-0000CB000000}"/>
    <hyperlink ref="N65" r:id="rId205" xr:uid="{00000000-0004-0000-0800-0000CC000000}"/>
    <hyperlink ref="N96" r:id="rId206" xr:uid="{00000000-0004-0000-0800-0000CD000000}"/>
    <hyperlink ref="N25" r:id="rId207" xr:uid="{00000000-0004-0000-0800-0000CE000000}"/>
    <hyperlink ref="N66" r:id="rId208" xr:uid="{00000000-0004-0000-0800-0000CF000000}"/>
    <hyperlink ref="N97" r:id="rId209" xr:uid="{00000000-0004-0000-0800-0000D0000000}"/>
    <hyperlink ref="N98" r:id="rId210" xr:uid="{00000000-0004-0000-0800-0000D1000000}"/>
    <hyperlink ref="N67" r:id="rId211" xr:uid="{00000000-0004-0000-0800-0000D2000000}"/>
    <hyperlink ref="N68" r:id="rId212" xr:uid="{00000000-0004-0000-0800-0000D3000000}"/>
    <hyperlink ref="N69" r:id="rId213" xr:uid="{00000000-0004-0000-0800-0000D4000000}"/>
    <hyperlink ref="N70" r:id="rId214" xr:uid="{00000000-0004-0000-0800-0000D5000000}"/>
    <hyperlink ref="N71" r:id="rId215" xr:uid="{00000000-0004-0000-0800-0000D6000000}"/>
    <hyperlink ref="N72" r:id="rId216" xr:uid="{00000000-0004-0000-0800-0000D7000000}"/>
    <hyperlink ref="N93" r:id="rId217" xr:uid="{00000000-0004-0000-0800-0000D8000000}"/>
    <hyperlink ref="N73" r:id="rId218" xr:uid="{00000000-0004-0000-0800-0000D9000000}"/>
    <hyperlink ref="N74" r:id="rId219" xr:uid="{00000000-0004-0000-0800-0000DA000000}"/>
    <hyperlink ref="N75" r:id="rId220" xr:uid="{00000000-0004-0000-0800-0000DB000000}"/>
    <hyperlink ref="N76" r:id="rId221" xr:uid="{00000000-0004-0000-0800-0000DC000000}"/>
    <hyperlink ref="N77" r:id="rId222" xr:uid="{00000000-0004-0000-0800-0000DD000000}"/>
    <hyperlink ref="N78" r:id="rId223" xr:uid="{00000000-0004-0000-0800-0000DE000000}"/>
    <hyperlink ref="N79" r:id="rId224" xr:uid="{00000000-0004-0000-0800-0000DF000000}"/>
    <hyperlink ref="N80" r:id="rId225" xr:uid="{00000000-0004-0000-0800-0000E0000000}"/>
    <hyperlink ref="N81" r:id="rId226" xr:uid="{00000000-0004-0000-0800-0000E1000000}"/>
    <hyperlink ref="N108" r:id="rId227" xr:uid="{00000000-0004-0000-0800-0000E2000000}"/>
    <hyperlink ref="N99" r:id="rId228" xr:uid="{00000000-0004-0000-0800-0000E3000000}"/>
    <hyperlink ref="N238" r:id="rId229" xr:uid="{00000000-0004-0000-0800-0000E4000000}"/>
    <hyperlink ref="N239" r:id="rId230" xr:uid="{00000000-0004-0000-0800-0000E5000000}"/>
    <hyperlink ref="N26" r:id="rId231" xr:uid="{00000000-0004-0000-0800-0000E6000000}"/>
    <hyperlink ref="N104" r:id="rId232" xr:uid="{00000000-0004-0000-0800-0000E7000000}"/>
    <hyperlink ref="N100" r:id="rId233" xr:uid="{00000000-0004-0000-0800-0000E8000000}"/>
    <hyperlink ref="N82" r:id="rId234" xr:uid="{00000000-0004-0000-0800-0000E9000000}"/>
    <hyperlink ref="N83" r:id="rId235" xr:uid="{00000000-0004-0000-0800-0000EA000000}"/>
    <hyperlink ref="N84" r:id="rId236" xr:uid="{00000000-0004-0000-0800-0000EB000000}"/>
    <hyperlink ref="N85" r:id="rId237" xr:uid="{00000000-0004-0000-0800-0000EC000000}"/>
    <hyperlink ref="N86" r:id="rId238" xr:uid="{00000000-0004-0000-0800-0000ED000000}"/>
  </hyperlinks>
  <pageMargins left="0.7" right="0.7" top="0.75" bottom="0.75" header="0.3" footer="0.3"/>
  <tableParts count="1">
    <tablePart r:id="rId23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+ F K I V N 9 Q w V a o A A A A + Q A A A B I A H A B D b 2 5 m a W c v U G F j a 2 F n Z S 5 4 b W w g o h g A K K A U A A A A A A A A A A A A A A A A A A A A A A A A A A A A h c 8 x D o I w G A X g q 5 D u t L U a I + S n D K 6 S m G j U t S k V G q E Y W i z x a g 4 e y S t I o q i b 4 3 v 5 h v c e t z u k f V 0 F F 9 V a 3 Z g E T T B F g T K y y b U p E t S 5 Y 7 h A K Y e 1 k C d R q G D A x s a 9 z R N U O n e O C f H e Y z / F T V s Q R u m E H L L V R p a q F u i D 9 X 8 c a m O d M F I h D r v X G M 5 w N M N z x i J M B w t k 7 C H T 5 m v Y M B l T I D 8 l L L v K d a 3 i 1 z L c 7 o G M E c j 7 B n 8 C U E s D B B Q A A g A I A P h S i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4 U o h U K I p H u A 4 A A A A R A A A A E w A c A E Z v c m 1 1 b G F z L 1 N l Y 3 R p b 2 4 x L m 0 g o h g A K K A U A A A A A A A A A A A A A A A A A A A A A A A A A A A A K 0 5 N L s n M z 1 M I h t C G 1 g B Q S w E C L Q A U A A I A C A D 4 U o h U 3 1 D B V q g A A A D 5 A A A A E g A A A A A A A A A A A A A A A A A A A A A A Q 2 9 u Z m l n L 1 B h Y 2 t h Z 2 U u e G 1 s U E s B A i 0 A F A A C A A g A + F K I V A / K 6 a u k A A A A 6 Q A A A B M A A A A A A A A A A A A A A A A A 9 A A A A F t D b 2 5 0 Z W 5 0 X 1 R 5 c G V z X S 5 4 b W x Q S w E C L Q A U A A I A C A D 4 U o h U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w i 4 Y 0 X p h v U y v Q l 0 0 Q y x r C A A A A A A C A A A A A A A Q Z g A A A A E A A C A A A A C I c k / c C X D r e z y + N q 8 w g o 8 p c k T C K O F B 1 n i v v Z U X y L n D 6 w A A A A A O g A A A A A I A A C A A A A A r G K 9 5 a m K 8 U c c / R E N W U b 9 H L P v L Y 4 v c R 7 T Q m L P v 5 a F e O F A A A A D y k w J n H D b V I N t R 1 v s Q 6 y 3 H o q h + S O 3 1 I I G / v D o J a 4 8 1 C E A 0 O D e a k O e V O x g I t C C f 2 I d M o + 4 T R J 2 g P 5 G S j 3 2 3 P S j e Y J 9 6 u e 3 A i q P J O c K H x r I L 2 k A A A A B u J d y G y v r x V + f S D z j G j z R F S q a j k l 9 M 0 C L t 2 r f N e N 6 + t O p O 1 h i x T S Y e X 0 O / 0 v a t H C w + I u y x m 6 q 0 t X 8 M F H i E i W 4 G < / D a t a M a s h u p > 
</file>

<file path=customXml/itemProps1.xml><?xml version="1.0" encoding="utf-8"?>
<ds:datastoreItem xmlns:ds="http://schemas.openxmlformats.org/officeDocument/2006/customXml" ds:itemID="{B09C36D5-F831-4F41-8022-A1CAEE4F763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2011年(212筆227冊)</vt:lpstr>
      <vt:lpstr>2012年(289筆318冊)</vt:lpstr>
      <vt:lpstr>2013年(276筆300冊)</vt:lpstr>
      <vt:lpstr>2014年(139筆139冊)</vt:lpstr>
      <vt:lpstr>2015年(193筆204冊)+2筆</vt:lpstr>
      <vt:lpstr>2016年(106筆108冊)+20筆20冊 </vt:lpstr>
      <vt:lpstr>2017年(196筆212冊)+15冊</vt:lpstr>
      <vt:lpstr>2018年(304筆332冊)+10冊</vt:lpstr>
      <vt:lpstr>2019年(238筆)</vt:lpstr>
      <vt:lpstr>2020年(228筆)</vt:lpstr>
      <vt:lpstr>2021年(253筆)</vt:lpstr>
      <vt:lpstr>2022年(164筆)</vt:lpstr>
      <vt:lpstr>2023年(192筆)</vt:lpstr>
      <vt:lpstr>2024年(164筆)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lsl</dc:creator>
  <cp:lastModifiedBy>USER</cp:lastModifiedBy>
  <cp:lastPrinted>2011-11-09T17:35:19Z</cp:lastPrinted>
  <dcterms:created xsi:type="dcterms:W3CDTF">2008-10-26T15:28:00Z</dcterms:created>
  <dcterms:modified xsi:type="dcterms:W3CDTF">2024-12-24T08:13:07Z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100970953</vt:i4>
  </property>
  <property fmtid="{D5CDD505-2E9C-101B-9397-08002B2CF9AE}" pid="3" name="_NewReviewCycle">
    <vt:lpwstr/>
  </property>
  <property fmtid="{D5CDD505-2E9C-101B-9397-08002B2CF9AE}" pid="4" name="_EmailSubject">
    <vt:lpwstr>8/23(一) 進行採購案. . ==&gt; Taylor &amp; Francis 180 titles</vt:lpwstr>
  </property>
  <property fmtid="{D5CDD505-2E9C-101B-9397-08002B2CF9AE}" pid="5" name="_AuthorEmail">
    <vt:lpwstr>helentsai@dragon.nchu.edu.tw</vt:lpwstr>
  </property>
  <property fmtid="{D5CDD505-2E9C-101B-9397-08002B2CF9AE}" pid="6" name="_AuthorEmailDisplayName">
    <vt:lpwstr>蔡和真 Helen Tsai</vt:lpwstr>
  </property>
  <property fmtid="{D5CDD505-2E9C-101B-9397-08002B2CF9AE}" pid="7" name="_ReviewingToolsShownOnce">
    <vt:lpwstr/>
  </property>
</Properties>
</file>